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6.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omments7.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josep\OneDrive\Desktop\seguimiento pac 2025\para enviar\Fisico y Financiero\"/>
    </mc:Choice>
  </mc:AlternateContent>
  <xr:revisionPtr revIDLastSave="0" documentId="13_ncr:1_{C4F45649-9ADD-4341-BABF-42BA09FBAF75}" xr6:coauthVersionLast="47" xr6:coauthVersionMax="47" xr10:uidLastSave="{00000000-0000-0000-0000-000000000000}"/>
  <bookViews>
    <workbookView xWindow="-120" yWindow="-120" windowWidth="29040" windowHeight="15720" tabRatio="647" firstSheet="5" activeTab="6" xr2:uid="{00000000-000D-0000-FFFF-FFFF00000000}"/>
  </bookViews>
  <sheets>
    <sheet name="Hoja1" sheetId="41" state="hidden" r:id="rId1"/>
    <sheet name="Informe Ingresos" sheetId="36" state="hidden" r:id="rId2"/>
    <sheet name="PROTOCOLO INGRESOS" sheetId="39" state="hidden" r:id="rId3"/>
    <sheet name="Datos Generales" sheetId="44" r:id="rId4"/>
    <sheet name="Observa" sheetId="32" r:id="rId5"/>
    <sheet name="Protocolo Inf Gestión" sheetId="46" r:id="rId6"/>
    <sheet name="Anexo1_Matriz_Avance Fisico-Fin" sheetId="45" r:id="rId7"/>
    <sheet name="Anexo 5.2 A" sheetId="48" state="hidden" r:id="rId8"/>
    <sheet name="Matriz Seguimiento IMG (2)" sheetId="76" r:id="rId9"/>
    <sheet name="1POMCAS (2)" sheetId="49" r:id="rId10"/>
    <sheet name="2PORH" sheetId="50" r:id="rId11"/>
    <sheet name="3PSMV" sheetId="51" r:id="rId12"/>
    <sheet name="4UsoAguas" sheetId="52" r:id="rId13"/>
    <sheet name="5PUEAA" sheetId="53" r:id="rId14"/>
    <sheet name="6POMCASejec" sheetId="54" r:id="rId15"/>
    <sheet name="7Clima" sheetId="55" r:id="rId16"/>
    <sheet name="8Suelo" sheetId="56" r:id="rId17"/>
    <sheet name="9RUNAP" sheetId="57" r:id="rId18"/>
    <sheet name="10Paramos" sheetId="58" r:id="rId19"/>
    <sheet name="11Forest" sheetId="59" r:id="rId20"/>
    <sheet name="12PlanesAP" sheetId="60" r:id="rId21"/>
    <sheet name="13Amenaz" sheetId="61" r:id="rId22"/>
    <sheet name="14Invasor" sheetId="62" r:id="rId23"/>
    <sheet name="15Restaura" sheetId="63" r:id="rId24"/>
    <sheet name="16MIZC" sheetId="64" r:id="rId25"/>
    <sheet name="17PGIRS" sheetId="65" r:id="rId26"/>
    <sheet name="18Sector" sheetId="66" r:id="rId27"/>
    <sheet name="19GAU" sheetId="67" r:id="rId28"/>
    <sheet name="20Negoc" sheetId="68" r:id="rId29"/>
    <sheet name="21TiempoT" sheetId="69" r:id="rId30"/>
    <sheet name="22Autor" sheetId="70" r:id="rId31"/>
    <sheet name="23Sanc" sheetId="71" r:id="rId32"/>
    <sheet name="24POT" sheetId="72" r:id="rId33"/>
    <sheet name="25Redes" sheetId="73" r:id="rId34"/>
    <sheet name="26SIAC" sheetId="74" r:id="rId35"/>
    <sheet name="27Educa" sheetId="75" r:id="rId36"/>
    <sheet name="Formulas" sheetId="33" state="hidden"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xlnm._FilterDatabase" localSheetId="11" hidden="1">'3PSMV'!$E$6:$E$75</definedName>
    <definedName name="_xlnm._FilterDatabase" localSheetId="7" hidden="1">'Anexo 5.2 A'!$A$2:$BK$103</definedName>
    <definedName name="_xlnm._FilterDatabase" localSheetId="6" hidden="1">'Anexo1_Matriz_Avance Fisico-Fin'!$A$2:$BR$108</definedName>
    <definedName name="_xlnm._FilterDatabase" localSheetId="1" hidden="1">'Informe Ingresos'!$A$6:$XES$320</definedName>
    <definedName name="_Toc467769469" localSheetId="10">'2PORH'!#REF!</definedName>
    <definedName name="_Toc467769470" localSheetId="11">'3PSMV'!#REF!</definedName>
    <definedName name="_Toc467769471" localSheetId="12">'4UsoAguas'!#REF!</definedName>
    <definedName name="_Toc467769472" localSheetId="13">'5PUEAA'!#REF!</definedName>
    <definedName name="_Toc467769473" localSheetId="14">'6POMCASejec'!#REF!</definedName>
    <definedName name="_Toc467769474" localSheetId="15">'7Clima'!#REF!</definedName>
    <definedName name="_Toc467769475" localSheetId="16">'8Suelo'!#REF!</definedName>
    <definedName name="_Toc467769476" localSheetId="17">'9RUNAP'!$B$6</definedName>
    <definedName name="_Toc467769477" localSheetId="18">'10Paramos'!#REF!</definedName>
    <definedName name="_Toc467769478" localSheetId="19">'11Forest'!#REF!</definedName>
    <definedName name="_Toc467769479" localSheetId="20">'12PlanesAP'!#REF!</definedName>
    <definedName name="_Toc467769480" localSheetId="21">'13Amenaz'!#REF!</definedName>
    <definedName name="_Toc467769481" localSheetId="22">'14Invasor'!#REF!</definedName>
    <definedName name="_Toc467769482" localSheetId="23">'15Restaura'!#REF!</definedName>
    <definedName name="_Toc467769483" localSheetId="24">'16MIZC'!#REF!</definedName>
    <definedName name="_Toc467769484" localSheetId="25">'17PGIRS'!#REF!</definedName>
    <definedName name="_Toc467769485" localSheetId="26">'18Sector'!#REF!</definedName>
    <definedName name="_Toc467769486" localSheetId="27">'19GAU'!#REF!</definedName>
    <definedName name="_Toc467769487" localSheetId="28">'20Negoc'!#REF!</definedName>
    <definedName name="_Toc467769488" localSheetId="29">'21TiempoT'!#REF!</definedName>
    <definedName name="_Toc467769489" localSheetId="30">'22Autor'!#REF!</definedName>
    <definedName name="_Toc467769490" localSheetId="31">'23Sanc'!#REF!</definedName>
    <definedName name="_Toc467769491" localSheetId="32">'24POT'!#REF!</definedName>
    <definedName name="_Toc467769492" localSheetId="33">'25Redes'!#REF!</definedName>
    <definedName name="_Toc467769493" localSheetId="34">'26SIAC'!#REF!</definedName>
    <definedName name="_Toc467769494" localSheetId="35">'27Educa'!#REF!</definedName>
    <definedName name="_xlnm.Print_Area" localSheetId="6">'Anexo1_Matriz_Avance Fisico-Fin'!$A$1:$BR$108</definedName>
    <definedName name="_xlnm.Print_Area" localSheetId="1">'Informe Ingresos'!#REF!</definedName>
    <definedName name="_xlnm.Print_Area" localSheetId="5">'Protocolo Inf Gestión'!$A$1:$B$35</definedName>
    <definedName name="GASTOS" comment="OPCION SI O NO">[1]Formulas!$D$33:$D$34</definedName>
    <definedName name="Informe" comment="OPCION SI O NO">[1]Formulas!$D$33:$D$34</definedName>
    <definedName name="ing">'[2]Datos Generales'!$H$5:$H$36</definedName>
    <definedName name="Lista_CAR" localSheetId="7">'[3]Datos Generales'!$H$5:$H$36</definedName>
    <definedName name="Lista_CAR" localSheetId="6">#REF!</definedName>
    <definedName name="Lista_CAR" localSheetId="3">'Datos Generales'!$H$5:$H$37</definedName>
    <definedName name="Lista_CAR" localSheetId="5">'[4]Datos Generales'!$H$5:$H$36</definedName>
    <definedName name="Lista_CAR">#REF!</definedName>
    <definedName name="REPORTE" localSheetId="18">[5]Formulas!$F$33:$F$34</definedName>
    <definedName name="REPORTE" localSheetId="19">[5]Formulas!$F$33:$F$34</definedName>
    <definedName name="REPORTE" localSheetId="20">[5]Formulas!$F$33:$F$34</definedName>
    <definedName name="REPORTE" localSheetId="21">[5]Formulas!$F$33:$F$34</definedName>
    <definedName name="REPORTE" localSheetId="22">[5]Formulas!$F$33:$F$34</definedName>
    <definedName name="REPORTE" localSheetId="23">[5]Formulas!$F$33:$F$34</definedName>
    <definedName name="REPORTE" localSheetId="24">[5]Formulas!$F$33:$F$34</definedName>
    <definedName name="REPORTE" localSheetId="25">[5]Formulas!$F$33:$F$34</definedName>
    <definedName name="REPORTE" localSheetId="26">[5]Formulas!$F$33:$F$34</definedName>
    <definedName name="REPORTE" localSheetId="27">[5]Formulas!$F$33:$F$34</definedName>
    <definedName name="REPORTE" localSheetId="9">[5]Formulas!$F$33:$F$34</definedName>
    <definedName name="REPORTE" localSheetId="28">[5]Formulas!$F$33:$F$34</definedName>
    <definedName name="REPORTE" localSheetId="29">[5]Formulas!$F$33:$F$34</definedName>
    <definedName name="REPORTE" localSheetId="30">[5]Formulas!$F$33:$F$34</definedName>
    <definedName name="REPORTE" localSheetId="31">[5]Formulas!$F$33:$F$34</definedName>
    <definedName name="REPORTE" localSheetId="32">[5]Formulas!$F$33:$F$34</definedName>
    <definedName name="REPORTE" localSheetId="33">[5]Formulas!$F$33:$F$34</definedName>
    <definedName name="REPORTE" localSheetId="34">[5]Formulas!$F$33:$F$34</definedName>
    <definedName name="REPORTE" localSheetId="35">[5]Formulas!$F$33:$F$34</definedName>
    <definedName name="REPORTE" localSheetId="10">[5]Formulas!$F$33:$F$34</definedName>
    <definedName name="REPORTE" localSheetId="11">[5]Formulas!$F$33:$F$34</definedName>
    <definedName name="REPORTE" localSheetId="12">[5]Formulas!$F$33:$F$34</definedName>
    <definedName name="REPORTE" localSheetId="13">[5]Formulas!$F$33:$F$34</definedName>
    <definedName name="REPORTE" localSheetId="14">[5]Formulas!$F$33:$F$34</definedName>
    <definedName name="REPORTE" localSheetId="15">[5]Formulas!$F$33:$F$34</definedName>
    <definedName name="REPORTE" localSheetId="16">[5]Formulas!$F$33:$F$34</definedName>
    <definedName name="REPORTE" localSheetId="17">[5]Formulas!$F$33:$F$34</definedName>
    <definedName name="REPORTE" comment="SI SE REPORTA" localSheetId="7">[3]Formulas!$F$33:$F$34</definedName>
    <definedName name="REPORTE" comment="SI SE REPORTA" localSheetId="6">#REF!</definedName>
    <definedName name="REPORTE" comment="SI SE REPORTA" localSheetId="3">[6]Formulas!$F$33:$F$34</definedName>
    <definedName name="REPORTE" comment="SI SE REPORTA" localSheetId="8">[5]Formulas!$F$33:$F$34</definedName>
    <definedName name="REPORTE" comment="SI SE REPORTA" localSheetId="5">[4]Formulas!$F$33:$F$34</definedName>
    <definedName name="REPORTE" comment="SI SE REPORTA">Formulas!$F$33:$F$34</definedName>
    <definedName name="SI" localSheetId="18">[5]Formulas!$D$33:$D$34</definedName>
    <definedName name="SI" localSheetId="19">[5]Formulas!$D$33:$D$34</definedName>
    <definedName name="SI" localSheetId="20">[5]Formulas!$D$33:$D$34</definedName>
    <definedName name="SI" localSheetId="21">[5]Formulas!$D$33:$D$34</definedName>
    <definedName name="SI" localSheetId="22">[5]Formulas!$D$33:$D$34</definedName>
    <definedName name="SI" localSheetId="23">[5]Formulas!$D$33:$D$34</definedName>
    <definedName name="SI" localSheetId="24">[5]Formulas!$D$33:$D$34</definedName>
    <definedName name="SI" localSheetId="25">[5]Formulas!$D$33:$D$34</definedName>
    <definedName name="SI" localSheetId="26">[5]Formulas!$D$33:$D$34</definedName>
    <definedName name="SI" localSheetId="27">[5]Formulas!$D$33:$D$34</definedName>
    <definedName name="SI" localSheetId="9">[5]Formulas!$D$33:$D$34</definedName>
    <definedName name="SI" localSheetId="28">[5]Formulas!$D$33:$D$34</definedName>
    <definedName name="SI" localSheetId="29">[5]Formulas!$D$33:$D$34</definedName>
    <definedName name="SI" localSheetId="30">[5]Formulas!$D$33:$D$34</definedName>
    <definedName name="SI" localSheetId="31">[5]Formulas!$D$33:$D$34</definedName>
    <definedName name="SI" localSheetId="32">[5]Formulas!$D$33:$D$34</definedName>
    <definedName name="SI" localSheetId="33">[5]Formulas!$D$33:$D$34</definedName>
    <definedName name="SI" localSheetId="34">[5]Formulas!$D$33:$D$34</definedName>
    <definedName name="SI" localSheetId="35">[5]Formulas!$D$33:$D$34</definedName>
    <definedName name="SI" localSheetId="10">[5]Formulas!$D$33:$D$34</definedName>
    <definedName name="SI" localSheetId="11">[5]Formulas!$D$33:$D$34</definedName>
    <definedName name="SI" localSheetId="12">[5]Formulas!$D$33:$D$34</definedName>
    <definedName name="SI" localSheetId="13">[5]Formulas!$D$33:$D$34</definedName>
    <definedName name="SI" localSheetId="14">[5]Formulas!$D$33:$D$34</definedName>
    <definedName name="SI" localSheetId="15">[5]Formulas!$D$33:$D$34</definedName>
    <definedName name="SI" localSheetId="16">[5]Formulas!$D$33:$D$34</definedName>
    <definedName name="SI" localSheetId="17">[5]Formulas!$D$33:$D$34</definedName>
    <definedName name="SI" comment="OPCION SI O NO" localSheetId="7">[3]Formulas!$D$33:$D$34</definedName>
    <definedName name="SI" comment="OPCION SI O NO" localSheetId="6">#REF!</definedName>
    <definedName name="SI" comment="OPCION SI O NO" localSheetId="3">[6]Formulas!$D$33:$D$34</definedName>
    <definedName name="SI" comment="OPCION SI O NO" localSheetId="8">[5]Formulas!$D$33:$D$34</definedName>
    <definedName name="SI" comment="OPCION SI O NO" localSheetId="5">[4]Formulas!$D$33:$D$34</definedName>
    <definedName name="SI" comment="OPCION SI O NO">Formulas!$D$33:$D$34</definedName>
    <definedName name="Vigencias" localSheetId="7">'[7]Datos Generales'!$H$38:$H$45</definedName>
    <definedName name="Vigencias" localSheetId="6">#REF!</definedName>
    <definedName name="Vigencias" localSheetId="3">'Datos Generales'!$H$39:$H$46</definedName>
    <definedName name="Vigencias" localSheetId="5">'[4]Datos Generales'!$H$38:$H$45</definedName>
    <definedName name="Vigencias">#REF!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48" l="1"/>
  <c r="B58" i="48"/>
  <c r="J62" i="48"/>
  <c r="I62" i="48"/>
  <c r="H62" i="48"/>
  <c r="G62" i="48"/>
  <c r="BG62" i="48"/>
  <c r="AD66" i="45"/>
  <c r="BJ66" i="45"/>
  <c r="F62" i="48"/>
  <c r="E62" i="48"/>
  <c r="D62" i="48"/>
  <c r="C62" i="48"/>
  <c r="AH60" i="48"/>
  <c r="AH57" i="48"/>
  <c r="AG60" i="48"/>
  <c r="AG57" i="48"/>
  <c r="AF60" i="48"/>
  <c r="AE60" i="48"/>
  <c r="AE57" i="48"/>
  <c r="F60" i="48"/>
  <c r="E60" i="48"/>
  <c r="D60" i="48"/>
  <c r="C60" i="48"/>
  <c r="F59" i="48"/>
  <c r="E59" i="48"/>
  <c r="BI59" i="48"/>
  <c r="D59" i="48"/>
  <c r="BH59" i="48"/>
  <c r="AH63" i="45"/>
  <c r="C59" i="48"/>
  <c r="BG59" i="48"/>
  <c r="AD63" i="45"/>
  <c r="BJ63" i="45"/>
  <c r="J60" i="48"/>
  <c r="I60" i="48"/>
  <c r="H60" i="48"/>
  <c r="G60" i="48"/>
  <c r="J58" i="48"/>
  <c r="I58" i="48"/>
  <c r="H58" i="48"/>
  <c r="G58" i="48"/>
  <c r="F58" i="48"/>
  <c r="F57" i="48"/>
  <c r="E58" i="48"/>
  <c r="D58" i="48"/>
  <c r="C58" i="48"/>
  <c r="J40" i="48"/>
  <c r="J39" i="48"/>
  <c r="I40" i="48"/>
  <c r="I39" i="48"/>
  <c r="H40" i="48"/>
  <c r="H39" i="48"/>
  <c r="G40" i="48"/>
  <c r="G39" i="48"/>
  <c r="F40" i="48"/>
  <c r="E40" i="48"/>
  <c r="D40" i="48"/>
  <c r="D39" i="48"/>
  <c r="C40" i="48"/>
  <c r="D4" i="76"/>
  <c r="H6" i="76"/>
  <c r="I6" i="76"/>
  <c r="M6" i="76"/>
  <c r="J6" i="76"/>
  <c r="N6" i="76"/>
  <c r="I7" i="76"/>
  <c r="J7" i="76"/>
  <c r="N7" i="76"/>
  <c r="M7" i="76"/>
  <c r="I8" i="76"/>
  <c r="M8" i="76"/>
  <c r="J8" i="76"/>
  <c r="N8" i="76"/>
  <c r="I9" i="76"/>
  <c r="M9" i="76"/>
  <c r="J9" i="76"/>
  <c r="N9" i="76"/>
  <c r="I10" i="76"/>
  <c r="M10" i="76"/>
  <c r="J10" i="76"/>
  <c r="N10" i="76"/>
  <c r="I11" i="76"/>
  <c r="J11" i="76"/>
  <c r="N11" i="76"/>
  <c r="M11" i="76"/>
  <c r="I12" i="76"/>
  <c r="J12" i="76"/>
  <c r="N12" i="76"/>
  <c r="M12" i="76"/>
  <c r="I13" i="76"/>
  <c r="J13" i="76"/>
  <c r="N13" i="76"/>
  <c r="M13" i="76"/>
  <c r="I14" i="76"/>
  <c r="M14" i="76"/>
  <c r="J14" i="76"/>
  <c r="N14" i="76"/>
  <c r="I15" i="76"/>
  <c r="M15" i="76"/>
  <c r="J15" i="76"/>
  <c r="N15" i="76"/>
  <c r="H16" i="76"/>
  <c r="I16" i="76"/>
  <c r="M16" i="76"/>
  <c r="J16" i="76"/>
  <c r="N16" i="76"/>
  <c r="I17" i="76"/>
  <c r="M17" i="76"/>
  <c r="J17" i="76"/>
  <c r="N17" i="76"/>
  <c r="I18" i="76"/>
  <c r="M18" i="76"/>
  <c r="J18" i="76"/>
  <c r="N18" i="76"/>
  <c r="H19" i="76"/>
  <c r="I19" i="76"/>
  <c r="M19" i="76"/>
  <c r="J19" i="76"/>
  <c r="N19" i="76"/>
  <c r="L19" i="76"/>
  <c r="H20" i="76"/>
  <c r="I20" i="76"/>
  <c r="J20" i="76"/>
  <c r="M20" i="76"/>
  <c r="N20" i="76"/>
  <c r="H21" i="76"/>
  <c r="L21" i="76"/>
  <c r="I21" i="76"/>
  <c r="M21" i="76"/>
  <c r="J21" i="76"/>
  <c r="N21" i="76"/>
  <c r="I22" i="76"/>
  <c r="M22" i="76"/>
  <c r="J22" i="76"/>
  <c r="N22" i="76"/>
  <c r="I23" i="76"/>
  <c r="M23" i="76"/>
  <c r="J23" i="76"/>
  <c r="N23" i="76"/>
  <c r="I24" i="76"/>
  <c r="M24" i="76"/>
  <c r="J24" i="76"/>
  <c r="N24" i="76"/>
  <c r="I25" i="76"/>
  <c r="M25" i="76"/>
  <c r="J25" i="76"/>
  <c r="N25" i="76"/>
  <c r="I26" i="76"/>
  <c r="M26" i="76"/>
  <c r="J26" i="76"/>
  <c r="N26" i="76"/>
  <c r="I27" i="76"/>
  <c r="M27" i="76"/>
  <c r="J27" i="76"/>
  <c r="N27" i="76"/>
  <c r="E28" i="76"/>
  <c r="F28" i="76"/>
  <c r="I28" i="76"/>
  <c r="M28" i="76"/>
  <c r="J28" i="76"/>
  <c r="N28" i="76"/>
  <c r="I29" i="76"/>
  <c r="J29" i="76"/>
  <c r="N29" i="76"/>
  <c r="M29" i="76"/>
  <c r="I30" i="76"/>
  <c r="J30" i="76"/>
  <c r="N30" i="76"/>
  <c r="M30" i="76"/>
  <c r="I31" i="76"/>
  <c r="M31" i="76"/>
  <c r="J31" i="76"/>
  <c r="N31" i="76"/>
  <c r="H32" i="76"/>
  <c r="L32" i="76"/>
  <c r="I32" i="76"/>
  <c r="J32" i="76"/>
  <c r="M32" i="76"/>
  <c r="N32" i="76"/>
  <c r="A2" i="75"/>
  <c r="E4" i="75"/>
  <c r="F10" i="75"/>
  <c r="D11" i="75"/>
  <c r="D12" i="75"/>
  <c r="I17" i="75"/>
  <c r="I18" i="75"/>
  <c r="I19" i="75"/>
  <c r="G30" i="75"/>
  <c r="H30" i="75"/>
  <c r="I30" i="75"/>
  <c r="G42" i="75"/>
  <c r="J30" i="75"/>
  <c r="E36" i="75"/>
  <c r="F36" i="75"/>
  <c r="G36" i="75"/>
  <c r="E37" i="75"/>
  <c r="F37" i="75"/>
  <c r="G37" i="75"/>
  <c r="G38" i="75"/>
  <c r="E39" i="75"/>
  <c r="F39" i="75"/>
  <c r="G39" i="75"/>
  <c r="E40" i="75"/>
  <c r="F40" i="75"/>
  <c r="G40" i="75"/>
  <c r="E41" i="75"/>
  <c r="F41" i="75"/>
  <c r="G41" i="75"/>
  <c r="A2" i="74"/>
  <c r="E4" i="74"/>
  <c r="F10" i="74"/>
  <c r="H31" i="76"/>
  <c r="L31" i="76"/>
  <c r="D11" i="74"/>
  <c r="D12" i="74"/>
  <c r="E21" i="74"/>
  <c r="F21" i="74"/>
  <c r="E30" i="74"/>
  <c r="D8" i="74"/>
  <c r="E31" i="76"/>
  <c r="G21" i="74"/>
  <c r="E27" i="74"/>
  <c r="F27" i="74"/>
  <c r="A2" i="73"/>
  <c r="E4" i="73"/>
  <c r="F10" i="73"/>
  <c r="H30" i="76"/>
  <c r="L30" i="76"/>
  <c r="D11" i="73"/>
  <c r="D12" i="73"/>
  <c r="I20" i="73"/>
  <c r="J20" i="73"/>
  <c r="E23" i="73"/>
  <c r="E24" i="73"/>
  <c r="E25" i="73"/>
  <c r="E79" i="73"/>
  <c r="E36" i="73"/>
  <c r="E37" i="73"/>
  <c r="E38" i="73"/>
  <c r="F36" i="73"/>
  <c r="G36" i="73"/>
  <c r="G37" i="73"/>
  <c r="G38" i="73"/>
  <c r="H36" i="73"/>
  <c r="H37" i="73"/>
  <c r="H38" i="73"/>
  <c r="I36" i="73"/>
  <c r="I37" i="73"/>
  <c r="I38" i="73"/>
  <c r="J36" i="73"/>
  <c r="J37" i="73"/>
  <c r="J38" i="73"/>
  <c r="K36" i="73"/>
  <c r="L36" i="73"/>
  <c r="M36" i="73"/>
  <c r="M37" i="73"/>
  <c r="M38" i="73"/>
  <c r="N36" i="73"/>
  <c r="N37" i="73"/>
  <c r="N38" i="73"/>
  <c r="O36" i="73"/>
  <c r="O37" i="73"/>
  <c r="O38" i="73"/>
  <c r="P36" i="73"/>
  <c r="P37" i="73"/>
  <c r="P38" i="73"/>
  <c r="Q36" i="73"/>
  <c r="Q37" i="73"/>
  <c r="Q38" i="73"/>
  <c r="R36" i="73"/>
  <c r="S36" i="73"/>
  <c r="S37" i="73"/>
  <c r="S38" i="73"/>
  <c r="T36" i="73"/>
  <c r="T37" i="73"/>
  <c r="T38" i="73"/>
  <c r="U36" i="73"/>
  <c r="F37" i="73"/>
  <c r="F38" i="73"/>
  <c r="K37" i="73"/>
  <c r="K38" i="73"/>
  <c r="L37" i="73"/>
  <c r="L38" i="73"/>
  <c r="R37" i="73"/>
  <c r="R38" i="73"/>
  <c r="U37" i="73"/>
  <c r="U38" i="73"/>
  <c r="H43" i="73"/>
  <c r="H44" i="73"/>
  <c r="G46" i="73"/>
  <c r="G47" i="73"/>
  <c r="E58" i="73"/>
  <c r="F58" i="73"/>
  <c r="G58" i="73"/>
  <c r="H58" i="73"/>
  <c r="I58" i="73"/>
  <c r="J58" i="73"/>
  <c r="J59" i="73"/>
  <c r="J60" i="73"/>
  <c r="K58" i="73"/>
  <c r="K59" i="73"/>
  <c r="K60" i="73"/>
  <c r="L58" i="73"/>
  <c r="M58" i="73"/>
  <c r="N58" i="73"/>
  <c r="N59" i="73"/>
  <c r="N60" i="73"/>
  <c r="O58" i="73"/>
  <c r="O59" i="73"/>
  <c r="O60" i="73"/>
  <c r="P58" i="73"/>
  <c r="P59" i="73"/>
  <c r="P60" i="73"/>
  <c r="E59" i="73"/>
  <c r="F59" i="73"/>
  <c r="F60" i="73"/>
  <c r="G59" i="73"/>
  <c r="H59" i="73"/>
  <c r="H60" i="73"/>
  <c r="I59" i="73"/>
  <c r="I60" i="73"/>
  <c r="L59" i="73"/>
  <c r="L60" i="73"/>
  <c r="M59" i="73"/>
  <c r="E60" i="73"/>
  <c r="G60" i="73"/>
  <c r="M60" i="73"/>
  <c r="H65" i="73"/>
  <c r="H66" i="73"/>
  <c r="G68" i="73"/>
  <c r="G69" i="73"/>
  <c r="E81" i="73"/>
  <c r="A2" i="72"/>
  <c r="E4" i="72"/>
  <c r="F9" i="72"/>
  <c r="H29" i="76"/>
  <c r="D10" i="72"/>
  <c r="D11" i="72"/>
  <c r="E17" i="72"/>
  <c r="C29" i="76"/>
  <c r="F17" i="72"/>
  <c r="D29" i="76"/>
  <c r="L29" i="76"/>
  <c r="G17" i="72"/>
  <c r="D7" i="72"/>
  <c r="H17" i="72"/>
  <c r="F29" i="76"/>
  <c r="A2" i="71"/>
  <c r="E4" i="71"/>
  <c r="F10" i="71"/>
  <c r="D11" i="71"/>
  <c r="D12" i="71"/>
  <c r="I18" i="71"/>
  <c r="I19" i="71"/>
  <c r="I20" i="71"/>
  <c r="E21" i="71"/>
  <c r="C28" i="76"/>
  <c r="F21" i="71"/>
  <c r="D28" i="76"/>
  <c r="G21" i="71"/>
  <c r="H21" i="71"/>
  <c r="A2" i="70"/>
  <c r="E4" i="70"/>
  <c r="F10" i="70"/>
  <c r="H27" i="76"/>
  <c r="L27" i="76"/>
  <c r="D11" i="70"/>
  <c r="D12" i="70"/>
  <c r="I22" i="70"/>
  <c r="I23" i="70"/>
  <c r="E24" i="70"/>
  <c r="E117" i="70"/>
  <c r="G117" i="70"/>
  <c r="F24" i="70"/>
  <c r="G24" i="70"/>
  <c r="H24" i="70"/>
  <c r="E41" i="70"/>
  <c r="F41" i="70"/>
  <c r="G41" i="70"/>
  <c r="H41" i="70"/>
  <c r="I53" i="70"/>
  <c r="I55" i="70"/>
  <c r="I54" i="70"/>
  <c r="E55" i="70"/>
  <c r="F55" i="70"/>
  <c r="G55" i="70"/>
  <c r="H55" i="70"/>
  <c r="I60" i="70"/>
  <c r="I62" i="70"/>
  <c r="I61" i="70"/>
  <c r="E62" i="70"/>
  <c r="F62" i="70"/>
  <c r="G62" i="70"/>
  <c r="H62" i="70"/>
  <c r="I74" i="70"/>
  <c r="I75" i="70"/>
  <c r="E76" i="70"/>
  <c r="E119" i="70"/>
  <c r="G119" i="70"/>
  <c r="F76" i="70"/>
  <c r="G76" i="70"/>
  <c r="H76" i="70"/>
  <c r="I81" i="70"/>
  <c r="I82" i="70"/>
  <c r="E83" i="70"/>
  <c r="F83" i="70"/>
  <c r="G83" i="70"/>
  <c r="H83" i="70"/>
  <c r="I83" i="70"/>
  <c r="I92" i="70"/>
  <c r="I93" i="70"/>
  <c r="E94" i="70"/>
  <c r="E120" i="70"/>
  <c r="G120" i="70"/>
  <c r="F94" i="70"/>
  <c r="G94" i="70"/>
  <c r="H94" i="70"/>
  <c r="I99" i="70"/>
  <c r="I100" i="70"/>
  <c r="I101" i="70"/>
  <c r="E101" i="70"/>
  <c r="F101" i="70"/>
  <c r="G101" i="70"/>
  <c r="H101" i="70"/>
  <c r="I112" i="70"/>
  <c r="I113" i="70"/>
  <c r="E114" i="70"/>
  <c r="E121" i="70"/>
  <c r="G121" i="70"/>
  <c r="F114" i="70"/>
  <c r="G114" i="70"/>
  <c r="H114" i="70"/>
  <c r="D117" i="70"/>
  <c r="D118" i="70"/>
  <c r="E118" i="70"/>
  <c r="G118" i="70"/>
  <c r="D119" i="70"/>
  <c r="D120" i="70"/>
  <c r="D121" i="70"/>
  <c r="F122" i="70"/>
  <c r="A2" i="69"/>
  <c r="E4" i="69"/>
  <c r="F10" i="69"/>
  <c r="H26" i="76"/>
  <c r="L26" i="76"/>
  <c r="D11" i="69"/>
  <c r="D12" i="69"/>
  <c r="I19" i="69"/>
  <c r="I20" i="69"/>
  <c r="E21" i="69"/>
  <c r="F21" i="69"/>
  <c r="G21" i="69"/>
  <c r="H21" i="69"/>
  <c r="I26" i="69"/>
  <c r="I28" i="69"/>
  <c r="I27" i="69"/>
  <c r="E28" i="69"/>
  <c r="E53" i="69"/>
  <c r="F28" i="69"/>
  <c r="G28" i="69"/>
  <c r="H28" i="69"/>
  <c r="I33" i="69"/>
  <c r="I35" i="69"/>
  <c r="I34" i="69"/>
  <c r="E35" i="69"/>
  <c r="E54" i="69"/>
  <c r="G54" i="69"/>
  <c r="F35" i="69"/>
  <c r="G35" i="69"/>
  <c r="H35" i="69"/>
  <c r="I40" i="69"/>
  <c r="I42" i="69"/>
  <c r="L40" i="69"/>
  <c r="I41" i="69"/>
  <c r="L41" i="69"/>
  <c r="E42" i="69"/>
  <c r="E55" i="69"/>
  <c r="G55" i="69"/>
  <c r="F42" i="69"/>
  <c r="G42" i="69"/>
  <c r="H42" i="69"/>
  <c r="I47" i="69"/>
  <c r="I48" i="69"/>
  <c r="E49" i="69"/>
  <c r="F49" i="69"/>
  <c r="G49" i="69"/>
  <c r="H49" i="69"/>
  <c r="I49" i="69"/>
  <c r="D52" i="69"/>
  <c r="E52" i="69"/>
  <c r="G52" i="69"/>
  <c r="D53" i="69"/>
  <c r="D54" i="69"/>
  <c r="D55" i="69"/>
  <c r="D56" i="69"/>
  <c r="E56" i="69"/>
  <c r="G56" i="69"/>
  <c r="F57" i="69"/>
  <c r="A2" i="68"/>
  <c r="E4" i="68"/>
  <c r="F10" i="68"/>
  <c r="H25" i="76"/>
  <c r="L25" i="76"/>
  <c r="D11" i="68"/>
  <c r="D12" i="68"/>
  <c r="I17" i="68"/>
  <c r="I18" i="68"/>
  <c r="I19" i="68"/>
  <c r="I24" i="68"/>
  <c r="F36" i="68"/>
  <c r="H30" i="68"/>
  <c r="J30" i="68"/>
  <c r="K30" i="68"/>
  <c r="E36" i="68"/>
  <c r="G36" i="68"/>
  <c r="E37" i="68"/>
  <c r="F37" i="68"/>
  <c r="G37" i="68"/>
  <c r="E38" i="68"/>
  <c r="F38" i="68"/>
  <c r="G38" i="68"/>
  <c r="E39" i="68"/>
  <c r="F39" i="68"/>
  <c r="G39" i="68"/>
  <c r="E40" i="68"/>
  <c r="F40" i="68"/>
  <c r="G40" i="68"/>
  <c r="E41" i="68"/>
  <c r="F41" i="68"/>
  <c r="G41" i="68"/>
  <c r="A2" i="67"/>
  <c r="E4" i="67"/>
  <c r="F10" i="67"/>
  <c r="H24" i="76"/>
  <c r="L24" i="76"/>
  <c r="D11" i="67"/>
  <c r="D12" i="67"/>
  <c r="I18" i="67"/>
  <c r="I23" i="67"/>
  <c r="I30" i="67"/>
  <c r="D8" i="67"/>
  <c r="E24" i="76"/>
  <c r="I24" i="67"/>
  <c r="I25" i="67"/>
  <c r="I26" i="67"/>
  <c r="I27" i="67"/>
  <c r="I28" i="67"/>
  <c r="I29" i="67"/>
  <c r="H30" i="67"/>
  <c r="D36" i="67"/>
  <c r="E36" i="67"/>
  <c r="J36" i="67"/>
  <c r="K36" i="67"/>
  <c r="D37" i="67"/>
  <c r="E37" i="67"/>
  <c r="J37" i="67"/>
  <c r="K37" i="67"/>
  <c r="D38" i="67"/>
  <c r="E38" i="67"/>
  <c r="J38" i="67"/>
  <c r="K38" i="67"/>
  <c r="D39" i="67"/>
  <c r="E39" i="67"/>
  <c r="J39" i="67"/>
  <c r="K39" i="67"/>
  <c r="D40" i="67"/>
  <c r="E40" i="67"/>
  <c r="J40" i="67"/>
  <c r="K40" i="67"/>
  <c r="D41" i="67"/>
  <c r="E41" i="67"/>
  <c r="J41" i="67"/>
  <c r="K41" i="67"/>
  <c r="D42" i="67"/>
  <c r="E42" i="67"/>
  <c r="J42" i="67"/>
  <c r="K42" i="67"/>
  <c r="G43" i="67"/>
  <c r="H43" i="67"/>
  <c r="J43" i="67"/>
  <c r="I43" i="67"/>
  <c r="K43" i="67"/>
  <c r="A2" i="66"/>
  <c r="E4" i="66"/>
  <c r="F10" i="66"/>
  <c r="H23" i="76"/>
  <c r="D11" i="66"/>
  <c r="D12" i="66"/>
  <c r="I18" i="66"/>
  <c r="I19" i="66"/>
  <c r="E20" i="66"/>
  <c r="C23" i="76"/>
  <c r="F20" i="66"/>
  <c r="D23" i="76"/>
  <c r="L23" i="76"/>
  <c r="G20" i="66"/>
  <c r="E23" i="76"/>
  <c r="H20" i="66"/>
  <c r="F23" i="76"/>
  <c r="G33" i="66"/>
  <c r="H33" i="66"/>
  <c r="F45" i="66"/>
  <c r="I33" i="66"/>
  <c r="J33" i="66"/>
  <c r="E39" i="66"/>
  <c r="F39" i="66"/>
  <c r="E40" i="66"/>
  <c r="F40" i="66"/>
  <c r="E41" i="66"/>
  <c r="F41" i="66"/>
  <c r="E42" i="66"/>
  <c r="F42" i="66"/>
  <c r="E43" i="66"/>
  <c r="F43" i="66"/>
  <c r="E44" i="66"/>
  <c r="F44" i="66"/>
  <c r="D45" i="66"/>
  <c r="A2" i="65"/>
  <c r="E4" i="65"/>
  <c r="F10" i="65"/>
  <c r="H22" i="76"/>
  <c r="D11" i="65"/>
  <c r="D12" i="65"/>
  <c r="I20" i="65"/>
  <c r="I21" i="65"/>
  <c r="E22" i="65"/>
  <c r="D8" i="65"/>
  <c r="F22" i="65"/>
  <c r="D22" i="76"/>
  <c r="L22" i="76"/>
  <c r="G22" i="65"/>
  <c r="E22" i="76"/>
  <c r="H22" i="65"/>
  <c r="F22" i="76"/>
  <c r="A2" i="64"/>
  <c r="E4" i="64"/>
  <c r="D8" i="64"/>
  <c r="E21" i="76"/>
  <c r="D11" i="64"/>
  <c r="D12" i="64"/>
  <c r="I18" i="64"/>
  <c r="I22" i="64"/>
  <c r="I23" i="64"/>
  <c r="I24" i="64"/>
  <c r="I25" i="64"/>
  <c r="I26" i="64"/>
  <c r="I27" i="64"/>
  <c r="I30" i="64"/>
  <c r="I28" i="64"/>
  <c r="I29" i="64"/>
  <c r="A2" i="63"/>
  <c r="E4" i="63"/>
  <c r="D11" i="63"/>
  <c r="D12" i="63"/>
  <c r="E21" i="63"/>
  <c r="E22" i="63"/>
  <c r="C20" i="76"/>
  <c r="F21" i="63"/>
  <c r="F22" i="63"/>
  <c r="D20" i="76"/>
  <c r="L20" i="76"/>
  <c r="G21" i="63"/>
  <c r="H21" i="63"/>
  <c r="H22" i="63"/>
  <c r="F20" i="76"/>
  <c r="G22" i="63"/>
  <c r="D8" i="63"/>
  <c r="F33" i="63"/>
  <c r="G33" i="63"/>
  <c r="H33" i="63"/>
  <c r="I33" i="63"/>
  <c r="J33" i="63"/>
  <c r="A2" i="62"/>
  <c r="E4" i="62"/>
  <c r="D11" i="62"/>
  <c r="D12" i="62"/>
  <c r="G18" i="62"/>
  <c r="J18" i="62"/>
  <c r="K18" i="62"/>
  <c r="G19" i="62"/>
  <c r="J19" i="62"/>
  <c r="K19" i="62"/>
  <c r="G20" i="62"/>
  <c r="K20" i="62"/>
  <c r="K21" i="62"/>
  <c r="D8" i="62"/>
  <c r="E19" i="76"/>
  <c r="J20" i="62"/>
  <c r="J21" i="62"/>
  <c r="E21" i="62"/>
  <c r="F21" i="62"/>
  <c r="H21" i="62"/>
  <c r="I21" i="62"/>
  <c r="H37" i="62"/>
  <c r="I37" i="62"/>
  <c r="J37" i="62"/>
  <c r="K37" i="62"/>
  <c r="A2" i="61"/>
  <c r="E4" i="61"/>
  <c r="F10" i="61"/>
  <c r="H18" i="76"/>
  <c r="L18" i="76"/>
  <c r="D11" i="61"/>
  <c r="D12" i="61"/>
  <c r="Q19" i="61"/>
  <c r="Q20" i="61"/>
  <c r="Q21" i="61"/>
  <c r="E22" i="61"/>
  <c r="F22" i="61"/>
  <c r="G22" i="61"/>
  <c r="H22" i="61"/>
  <c r="I22" i="61"/>
  <c r="J22" i="61"/>
  <c r="K22" i="61"/>
  <c r="L22" i="61"/>
  <c r="M22" i="61"/>
  <c r="N22" i="61"/>
  <c r="O22" i="61"/>
  <c r="P22" i="61"/>
  <c r="H40" i="61"/>
  <c r="I40" i="61"/>
  <c r="J40" i="61"/>
  <c r="K40" i="61"/>
  <c r="A2" i="60"/>
  <c r="E4" i="60"/>
  <c r="F10" i="60"/>
  <c r="H17" i="76"/>
  <c r="L17" i="76"/>
  <c r="D11" i="60"/>
  <c r="D12" i="60"/>
  <c r="G17" i="60"/>
  <c r="G18" i="60"/>
  <c r="G19" i="60"/>
  <c r="E20" i="60"/>
  <c r="F20" i="60"/>
  <c r="H40" i="60"/>
  <c r="I40" i="60"/>
  <c r="J40" i="60"/>
  <c r="K40" i="60"/>
  <c r="A2" i="59"/>
  <c r="E4" i="59"/>
  <c r="D8" i="59"/>
  <c r="D11" i="59"/>
  <c r="D12" i="59"/>
  <c r="N17" i="59"/>
  <c r="N18" i="59"/>
  <c r="N19" i="59"/>
  <c r="N20" i="59"/>
  <c r="N21" i="59"/>
  <c r="E20" i="59"/>
  <c r="M22" i="59"/>
  <c r="K26" i="59"/>
  <c r="K41" i="59"/>
  <c r="M26" i="59"/>
  <c r="M30" i="59"/>
  <c r="N26" i="59"/>
  <c r="O26" i="59"/>
  <c r="O30" i="59"/>
  <c r="P26" i="59"/>
  <c r="K27" i="59"/>
  <c r="K42" i="59"/>
  <c r="M27" i="59"/>
  <c r="N27" i="59"/>
  <c r="O27" i="59"/>
  <c r="P27" i="59"/>
  <c r="K28" i="59"/>
  <c r="K43" i="59"/>
  <c r="M28" i="59"/>
  <c r="N28" i="59"/>
  <c r="O28" i="59"/>
  <c r="P28" i="59"/>
  <c r="K29" i="59"/>
  <c r="K44" i="59"/>
  <c r="M29" i="59"/>
  <c r="N29" i="59"/>
  <c r="O29" i="59"/>
  <c r="P29" i="59"/>
  <c r="P33" i="59"/>
  <c r="L45" i="59"/>
  <c r="M46" i="59"/>
  <c r="M33" i="59"/>
  <c r="A2" i="58"/>
  <c r="E4" i="58"/>
  <c r="F10" i="58"/>
  <c r="H15" i="76"/>
  <c r="D11" i="58"/>
  <c r="D12" i="58"/>
  <c r="J18" i="58"/>
  <c r="J19" i="58"/>
  <c r="J20" i="58"/>
  <c r="E20" i="58"/>
  <c r="F20" i="58"/>
  <c r="C15" i="76"/>
  <c r="G20" i="58"/>
  <c r="D15" i="76"/>
  <c r="L15" i="76"/>
  <c r="H20" i="58"/>
  <c r="D8" i="58"/>
  <c r="I20" i="58"/>
  <c r="F15" i="76"/>
  <c r="A2" i="57"/>
  <c r="E4" i="57"/>
  <c r="F11" i="57"/>
  <c r="H14" i="76"/>
  <c r="D12" i="57"/>
  <c r="D13" i="57"/>
  <c r="G19" i="57"/>
  <c r="G20" i="57"/>
  <c r="G21" i="57"/>
  <c r="G22" i="57"/>
  <c r="G23" i="57"/>
  <c r="E24" i="57"/>
  <c r="F24" i="57"/>
  <c r="I29" i="57"/>
  <c r="E35" i="57"/>
  <c r="F35" i="57"/>
  <c r="G35" i="57"/>
  <c r="H35" i="57"/>
  <c r="I40" i="57"/>
  <c r="E46" i="57"/>
  <c r="F46" i="57"/>
  <c r="G46" i="57"/>
  <c r="H46" i="57"/>
  <c r="I52" i="57"/>
  <c r="E58" i="57"/>
  <c r="F58" i="57"/>
  <c r="G58" i="57"/>
  <c r="H58" i="57"/>
  <c r="I63" i="57"/>
  <c r="E69" i="57"/>
  <c r="F69" i="57"/>
  <c r="G69" i="57"/>
  <c r="H69" i="57"/>
  <c r="E94" i="57"/>
  <c r="I94" i="57"/>
  <c r="F94" i="57"/>
  <c r="F96" i="57"/>
  <c r="D14" i="76"/>
  <c r="G94" i="57"/>
  <c r="H94" i="57"/>
  <c r="E95" i="57"/>
  <c r="I95" i="57"/>
  <c r="F95" i="57"/>
  <c r="G95" i="57"/>
  <c r="G96" i="57"/>
  <c r="E14" i="76"/>
  <c r="H95" i="57"/>
  <c r="H96" i="57"/>
  <c r="F14" i="76"/>
  <c r="A2" i="56"/>
  <c r="E4" i="56"/>
  <c r="F10" i="56"/>
  <c r="H13" i="76"/>
  <c r="D11" i="56"/>
  <c r="D12" i="56"/>
  <c r="E19" i="56"/>
  <c r="C13" i="76"/>
  <c r="F19" i="56"/>
  <c r="D13" i="76"/>
  <c r="L13" i="76"/>
  <c r="G19" i="56"/>
  <c r="D8" i="56"/>
  <c r="H19" i="56"/>
  <c r="F13" i="76"/>
  <c r="F37" i="56"/>
  <c r="G37" i="56"/>
  <c r="H37" i="56"/>
  <c r="I37" i="56"/>
  <c r="J37" i="56"/>
  <c r="A2" i="55"/>
  <c r="E4" i="55"/>
  <c r="D8" i="55"/>
  <c r="F10" i="55"/>
  <c r="H12" i="76"/>
  <c r="D11" i="55"/>
  <c r="D12" i="55"/>
  <c r="E19" i="55"/>
  <c r="C12" i="76"/>
  <c r="F19" i="55"/>
  <c r="D12" i="76"/>
  <c r="L12" i="76"/>
  <c r="G19" i="55"/>
  <c r="E12" i="76"/>
  <c r="H19" i="55"/>
  <c r="F12" i="76"/>
  <c r="A2" i="54"/>
  <c r="E4" i="54"/>
  <c r="F10" i="54"/>
  <c r="H11" i="76"/>
  <c r="D11" i="54"/>
  <c r="D12" i="54"/>
  <c r="E24" i="54"/>
  <c r="F24" i="54"/>
  <c r="G24" i="54"/>
  <c r="H24" i="54"/>
  <c r="E25" i="54"/>
  <c r="F25" i="54"/>
  <c r="G25" i="54"/>
  <c r="H25" i="54"/>
  <c r="E26" i="54"/>
  <c r="F26" i="54"/>
  <c r="G26" i="54"/>
  <c r="H26" i="54"/>
  <c r="G27" i="54"/>
  <c r="D8" i="54"/>
  <c r="F51" i="54"/>
  <c r="G51" i="54"/>
  <c r="H51" i="54"/>
  <c r="I51" i="54"/>
  <c r="A2" i="53"/>
  <c r="E4" i="53"/>
  <c r="F10" i="53"/>
  <c r="H10" i="76"/>
  <c r="D11" i="53"/>
  <c r="D12" i="53"/>
  <c r="E22" i="53"/>
  <c r="D8" i="53"/>
  <c r="F22" i="53"/>
  <c r="D10" i="76"/>
  <c r="L10" i="76"/>
  <c r="G22" i="53"/>
  <c r="E10" i="76"/>
  <c r="H22" i="53"/>
  <c r="F10" i="76"/>
  <c r="A2" i="52"/>
  <c r="E4" i="52"/>
  <c r="F10" i="52"/>
  <c r="H9" i="76"/>
  <c r="D11" i="52"/>
  <c r="D12" i="52"/>
  <c r="I21" i="52"/>
  <c r="I22" i="52"/>
  <c r="I23" i="52"/>
  <c r="E23" i="52"/>
  <c r="D8" i="52"/>
  <c r="F23" i="52"/>
  <c r="D9" i="76"/>
  <c r="L9" i="76"/>
  <c r="G23" i="52"/>
  <c r="E9" i="76"/>
  <c r="H23" i="52"/>
  <c r="F9" i="76"/>
  <c r="A2" i="51"/>
  <c r="E4" i="51"/>
  <c r="F10" i="51"/>
  <c r="H8" i="76"/>
  <c r="D11" i="51"/>
  <c r="D12" i="51"/>
  <c r="E22" i="51"/>
  <c r="D8" i="51"/>
  <c r="F22" i="51"/>
  <c r="D8" i="76"/>
  <c r="G22" i="51"/>
  <c r="E8" i="76"/>
  <c r="H22" i="51"/>
  <c r="F8" i="76"/>
  <c r="A2" i="50"/>
  <c r="E4" i="50"/>
  <c r="F10" i="50"/>
  <c r="H7" i="76"/>
  <c r="D11" i="50"/>
  <c r="D12" i="50"/>
  <c r="E23" i="50"/>
  <c r="C7" i="76"/>
  <c r="F23" i="50"/>
  <c r="D7" i="76"/>
  <c r="L7" i="76"/>
  <c r="G23" i="50"/>
  <c r="E7" i="76"/>
  <c r="H23" i="50"/>
  <c r="D8" i="50"/>
  <c r="I23" i="50"/>
  <c r="A2" i="49"/>
  <c r="E4" i="49"/>
  <c r="D11" i="49"/>
  <c r="D12" i="49"/>
  <c r="D61" i="49"/>
  <c r="E61" i="49"/>
  <c r="E79" i="49"/>
  <c r="F61" i="49"/>
  <c r="F79" i="49"/>
  <c r="D62" i="49"/>
  <c r="E62" i="49"/>
  <c r="F62" i="49"/>
  <c r="F80" i="49"/>
  <c r="D63" i="49"/>
  <c r="D81" i="49"/>
  <c r="E63" i="49"/>
  <c r="E81" i="49"/>
  <c r="F63" i="49"/>
  <c r="F81" i="49"/>
  <c r="D64" i="49"/>
  <c r="E64" i="49"/>
  <c r="F64" i="49"/>
  <c r="D65" i="49"/>
  <c r="D83" i="49"/>
  <c r="E65" i="49"/>
  <c r="E83" i="49"/>
  <c r="F65" i="49"/>
  <c r="F83" i="49"/>
  <c r="D66" i="49"/>
  <c r="D84" i="49"/>
  <c r="E66" i="49"/>
  <c r="E84" i="49"/>
  <c r="F66" i="49"/>
  <c r="D67" i="49"/>
  <c r="D85" i="49"/>
  <c r="E67" i="49"/>
  <c r="E85" i="49"/>
  <c r="F67" i="49"/>
  <c r="F85" i="49"/>
  <c r="D68" i="49"/>
  <c r="E68" i="49"/>
  <c r="F68" i="49"/>
  <c r="F86" i="49"/>
  <c r="D69" i="49"/>
  <c r="E69" i="49"/>
  <c r="E87" i="49"/>
  <c r="F69" i="49"/>
  <c r="F87" i="49"/>
  <c r="D70" i="49"/>
  <c r="D88" i="49"/>
  <c r="E70" i="49"/>
  <c r="E88" i="49"/>
  <c r="F70" i="49"/>
  <c r="F88" i="49"/>
  <c r="D71" i="49"/>
  <c r="D89" i="49"/>
  <c r="E71" i="49"/>
  <c r="E89" i="49"/>
  <c r="F71" i="49"/>
  <c r="F89" i="49"/>
  <c r="D72" i="49"/>
  <c r="E72" i="49"/>
  <c r="F72" i="49"/>
  <c r="F90" i="49"/>
  <c r="D73" i="49"/>
  <c r="E73" i="49"/>
  <c r="E91" i="49"/>
  <c r="F73" i="49"/>
  <c r="F91" i="49"/>
  <c r="D74" i="49"/>
  <c r="D92" i="49"/>
  <c r="E74" i="49"/>
  <c r="F74" i="49"/>
  <c r="F92" i="49"/>
  <c r="D79" i="49"/>
  <c r="G79" i="49"/>
  <c r="H79" i="49"/>
  <c r="I79" i="49"/>
  <c r="J79" i="49"/>
  <c r="D80" i="49"/>
  <c r="E80" i="49"/>
  <c r="G80" i="49"/>
  <c r="H80" i="49"/>
  <c r="I80" i="49"/>
  <c r="J80" i="49"/>
  <c r="G81" i="49"/>
  <c r="H81" i="49"/>
  <c r="I81" i="49"/>
  <c r="J81" i="49"/>
  <c r="D82" i="49"/>
  <c r="E82" i="49"/>
  <c r="F82" i="49"/>
  <c r="G82" i="49"/>
  <c r="H82" i="49"/>
  <c r="I82" i="49"/>
  <c r="J82" i="49"/>
  <c r="G83" i="49"/>
  <c r="H83" i="49"/>
  <c r="I83" i="49"/>
  <c r="J83" i="49"/>
  <c r="F84" i="49"/>
  <c r="G84" i="49"/>
  <c r="H84" i="49"/>
  <c r="I84" i="49"/>
  <c r="J84" i="49"/>
  <c r="G85" i="49"/>
  <c r="H85" i="49"/>
  <c r="I85" i="49"/>
  <c r="J85" i="49"/>
  <c r="D86" i="49"/>
  <c r="E86" i="49"/>
  <c r="G86" i="49"/>
  <c r="H86" i="49"/>
  <c r="I86" i="49"/>
  <c r="J86" i="49"/>
  <c r="D87" i="49"/>
  <c r="G87" i="49"/>
  <c r="H87" i="49"/>
  <c r="I87" i="49"/>
  <c r="J87" i="49"/>
  <c r="G88" i="49"/>
  <c r="H88" i="49"/>
  <c r="I88" i="49"/>
  <c r="J88" i="49"/>
  <c r="G89" i="49"/>
  <c r="H89" i="49"/>
  <c r="I89" i="49"/>
  <c r="J89" i="49"/>
  <c r="D90" i="49"/>
  <c r="E90" i="49"/>
  <c r="G90" i="49"/>
  <c r="H90" i="49"/>
  <c r="I90" i="49"/>
  <c r="J90" i="49"/>
  <c r="D91" i="49"/>
  <c r="G91" i="49"/>
  <c r="H91" i="49"/>
  <c r="I91" i="49"/>
  <c r="J91" i="49"/>
  <c r="E92" i="49"/>
  <c r="G92" i="49"/>
  <c r="H92" i="49"/>
  <c r="I92" i="49"/>
  <c r="J92" i="49"/>
  <c r="H30" i="64"/>
  <c r="H30" i="59"/>
  <c r="E30" i="59"/>
  <c r="F30" i="59"/>
  <c r="G30" i="59"/>
  <c r="D42" i="68"/>
  <c r="D99" i="49"/>
  <c r="D42" i="75"/>
  <c r="G42" i="68"/>
  <c r="I25" i="59"/>
  <c r="BJ69" i="45"/>
  <c r="BB104" i="45"/>
  <c r="BC104" i="45"/>
  <c r="BD104" i="45"/>
  <c r="BE104" i="45"/>
  <c r="BB99" i="45"/>
  <c r="BC99" i="45"/>
  <c r="BD99" i="45"/>
  <c r="BE99" i="45"/>
  <c r="BB88" i="45"/>
  <c r="BC88" i="45"/>
  <c r="BD88" i="45"/>
  <c r="BE88" i="45"/>
  <c r="BB80" i="45"/>
  <c r="BC80" i="45"/>
  <c r="BD80" i="45"/>
  <c r="BE80" i="45"/>
  <c r="BE76" i="45"/>
  <c r="BB76" i="45"/>
  <c r="BC76" i="45"/>
  <c r="BD76" i="45"/>
  <c r="BB73" i="45"/>
  <c r="BC73" i="45"/>
  <c r="BD73" i="45"/>
  <c r="BE73" i="45"/>
  <c r="BB67" i="45"/>
  <c r="BC67" i="45"/>
  <c r="BD67" i="45"/>
  <c r="BE67" i="45"/>
  <c r="BB61" i="45"/>
  <c r="BC61" i="45"/>
  <c r="BD61" i="45"/>
  <c r="BE61" i="45"/>
  <c r="BB57" i="45"/>
  <c r="BC57" i="45"/>
  <c r="BD57" i="45"/>
  <c r="BE57" i="45"/>
  <c r="BB51" i="45"/>
  <c r="BC51" i="45"/>
  <c r="BD51" i="45"/>
  <c r="BE51" i="45"/>
  <c r="BB46" i="45"/>
  <c r="BC46" i="45"/>
  <c r="BD46" i="45"/>
  <c r="BE46" i="45"/>
  <c r="BB43" i="45"/>
  <c r="BC43" i="45"/>
  <c r="BD43" i="45"/>
  <c r="BE43" i="45"/>
  <c r="BB28" i="45"/>
  <c r="BC28" i="45"/>
  <c r="BC27" i="45"/>
  <c r="BD28" i="45"/>
  <c r="BE28" i="45"/>
  <c r="BB21" i="45"/>
  <c r="BC21" i="45"/>
  <c r="BD21" i="45"/>
  <c r="BE21" i="45"/>
  <c r="BB18" i="45"/>
  <c r="BC18" i="45"/>
  <c r="BD18" i="45"/>
  <c r="BD17" i="45"/>
  <c r="BE18" i="45"/>
  <c r="BB13" i="45"/>
  <c r="BC13" i="45"/>
  <c r="BD13" i="45"/>
  <c r="BE13" i="45"/>
  <c r="BB9" i="45"/>
  <c r="BC9" i="45"/>
  <c r="BD9" i="45"/>
  <c r="BE9" i="45"/>
  <c r="BA22" i="45"/>
  <c r="AZ64" i="45"/>
  <c r="AY69" i="45"/>
  <c r="AZ69" i="45"/>
  <c r="BA69" i="45"/>
  <c r="AY74" i="45"/>
  <c r="AZ84" i="45"/>
  <c r="BA87" i="45"/>
  <c r="BA103" i="45"/>
  <c r="AQ10" i="45"/>
  <c r="AY10" i="45"/>
  <c r="AR10" i="45"/>
  <c r="AZ10" i="45"/>
  <c r="AS10" i="45"/>
  <c r="BA10" i="45"/>
  <c r="AQ11" i="45"/>
  <c r="AY11" i="45"/>
  <c r="AR11" i="45"/>
  <c r="AZ11" i="45"/>
  <c r="AS11" i="45"/>
  <c r="BA11" i="45"/>
  <c r="AR12" i="45"/>
  <c r="AZ12" i="45"/>
  <c r="AS12" i="45"/>
  <c r="BA12" i="45"/>
  <c r="AQ14" i="45"/>
  <c r="AR14" i="45"/>
  <c r="AZ14" i="45"/>
  <c r="AS14" i="45"/>
  <c r="BA14" i="45"/>
  <c r="AQ15" i="45"/>
  <c r="AY15" i="45"/>
  <c r="AR15" i="45"/>
  <c r="AZ15" i="45"/>
  <c r="AS15" i="45"/>
  <c r="BA15" i="45"/>
  <c r="AR16" i="45"/>
  <c r="AZ16" i="45"/>
  <c r="AS16" i="45"/>
  <c r="BA16" i="45"/>
  <c r="AQ19" i="45"/>
  <c r="AR19" i="45"/>
  <c r="AS19" i="45"/>
  <c r="BA19" i="45"/>
  <c r="AR20" i="45"/>
  <c r="AZ20" i="45"/>
  <c r="AS20" i="45"/>
  <c r="BA20" i="45"/>
  <c r="AQ22" i="45"/>
  <c r="AR22" i="45"/>
  <c r="AZ22" i="45"/>
  <c r="AS22" i="45"/>
  <c r="AQ23" i="45"/>
  <c r="AY23" i="45"/>
  <c r="AR23" i="45"/>
  <c r="AS23" i="45"/>
  <c r="BA23" i="45"/>
  <c r="AQ24" i="45"/>
  <c r="AY24" i="45"/>
  <c r="AR24" i="45"/>
  <c r="AZ24" i="45"/>
  <c r="AS24" i="45"/>
  <c r="BA24" i="45"/>
  <c r="AR25" i="45"/>
  <c r="AZ25" i="45"/>
  <c r="AS25" i="45"/>
  <c r="BA25" i="45"/>
  <c r="AQ29" i="45"/>
  <c r="AY29" i="45"/>
  <c r="AR29" i="45"/>
  <c r="AS29" i="45"/>
  <c r="BA29" i="45"/>
  <c r="AQ30" i="45"/>
  <c r="AY30" i="45"/>
  <c r="AR30" i="45"/>
  <c r="AZ30" i="45"/>
  <c r="AS30" i="45"/>
  <c r="AQ31" i="45"/>
  <c r="AY31" i="45"/>
  <c r="AR31" i="45"/>
  <c r="AZ31" i="45"/>
  <c r="AS31" i="45"/>
  <c r="BA31" i="45"/>
  <c r="AQ32" i="45"/>
  <c r="AY32" i="45"/>
  <c r="AR32" i="45"/>
  <c r="AZ32" i="45"/>
  <c r="AS32" i="45"/>
  <c r="BA32" i="45"/>
  <c r="AQ33" i="45"/>
  <c r="AY33" i="45"/>
  <c r="AR33" i="45"/>
  <c r="AZ33" i="45"/>
  <c r="AS33" i="45"/>
  <c r="BA33" i="45"/>
  <c r="AQ34" i="45"/>
  <c r="AY34" i="45"/>
  <c r="AR34" i="45"/>
  <c r="AZ34" i="45"/>
  <c r="AS34" i="45"/>
  <c r="BA34" i="45"/>
  <c r="AQ35" i="45"/>
  <c r="AY35" i="45"/>
  <c r="AR35" i="45"/>
  <c r="AZ35" i="45"/>
  <c r="AS35" i="45"/>
  <c r="BA35" i="45"/>
  <c r="AQ36" i="45"/>
  <c r="AY36" i="45"/>
  <c r="AR36" i="45"/>
  <c r="AZ36" i="45"/>
  <c r="AS36" i="45"/>
  <c r="BA36" i="45"/>
  <c r="AQ37" i="45"/>
  <c r="AY37" i="45"/>
  <c r="AR37" i="45"/>
  <c r="AZ37" i="45"/>
  <c r="AS37" i="45"/>
  <c r="BA37" i="45"/>
  <c r="AQ38" i="45"/>
  <c r="AY38" i="45"/>
  <c r="AR38" i="45"/>
  <c r="AZ38" i="45"/>
  <c r="AS38" i="45"/>
  <c r="BA38" i="45"/>
  <c r="AQ39" i="45"/>
  <c r="AY39" i="45"/>
  <c r="AR39" i="45"/>
  <c r="AZ39" i="45"/>
  <c r="AS39" i="45"/>
  <c r="BA39" i="45"/>
  <c r="AQ40" i="45"/>
  <c r="AY40" i="45"/>
  <c r="AR40" i="45"/>
  <c r="AZ40" i="45"/>
  <c r="AS40" i="45"/>
  <c r="BA40" i="45"/>
  <c r="AQ41" i="45"/>
  <c r="AY41" i="45"/>
  <c r="AR41" i="45"/>
  <c r="AZ41" i="45"/>
  <c r="AS41" i="45"/>
  <c r="BA41" i="45"/>
  <c r="AR42" i="45"/>
  <c r="AZ42" i="45"/>
  <c r="AS42" i="45"/>
  <c r="BA42" i="45"/>
  <c r="AR44" i="45"/>
  <c r="AR43" i="45"/>
  <c r="AS44" i="45"/>
  <c r="AS43" i="45"/>
  <c r="AQ47" i="45"/>
  <c r="AY47" i="45"/>
  <c r="AR47" i="45"/>
  <c r="AS47" i="45"/>
  <c r="BA47" i="45"/>
  <c r="AQ48" i="45"/>
  <c r="AY48" i="45"/>
  <c r="AR48" i="45"/>
  <c r="AZ48" i="45"/>
  <c r="AS48" i="45"/>
  <c r="BA48" i="45"/>
  <c r="AQ49" i="45"/>
  <c r="AY49" i="45"/>
  <c r="AR49" i="45"/>
  <c r="AZ49" i="45"/>
  <c r="AS49" i="45"/>
  <c r="BA49" i="45"/>
  <c r="AR50" i="45"/>
  <c r="AZ50" i="45"/>
  <c r="AS50" i="45"/>
  <c r="AQ52" i="45"/>
  <c r="AR52" i="45"/>
  <c r="AZ52" i="45"/>
  <c r="AS52" i="45"/>
  <c r="BA52" i="45"/>
  <c r="AQ53" i="45"/>
  <c r="AY53" i="45"/>
  <c r="AR53" i="45"/>
  <c r="AZ53" i="45"/>
  <c r="AS53" i="45"/>
  <c r="BA53" i="45"/>
  <c r="AR54" i="45"/>
  <c r="AZ54" i="45"/>
  <c r="AS54" i="45"/>
  <c r="BA54" i="45"/>
  <c r="AQ58" i="45"/>
  <c r="AY58" i="45"/>
  <c r="AR58" i="45"/>
  <c r="AS58" i="45"/>
  <c r="AQ59" i="45"/>
  <c r="AY59" i="45"/>
  <c r="AR59" i="45"/>
  <c r="AZ59" i="45"/>
  <c r="AS59" i="45"/>
  <c r="BA59" i="45"/>
  <c r="AR60" i="45"/>
  <c r="AZ60" i="45"/>
  <c r="AS60" i="45"/>
  <c r="BA60" i="45"/>
  <c r="AQ62" i="45"/>
  <c r="AY62" i="45"/>
  <c r="AR62" i="45"/>
  <c r="AZ62" i="45"/>
  <c r="AS62" i="45"/>
  <c r="BA62" i="45"/>
  <c r="AQ63" i="45"/>
  <c r="AY63" i="45"/>
  <c r="AR63" i="45"/>
  <c r="AS63" i="45"/>
  <c r="BA63" i="45"/>
  <c r="AQ64" i="45"/>
  <c r="AY64" i="45"/>
  <c r="AR64" i="45"/>
  <c r="AS64" i="45"/>
  <c r="BA64" i="45"/>
  <c r="AQ65" i="45"/>
  <c r="AY65" i="45"/>
  <c r="AR65" i="45"/>
  <c r="AZ65" i="45"/>
  <c r="AS65" i="45"/>
  <c r="BA65" i="45"/>
  <c r="AR66" i="45"/>
  <c r="AZ66" i="45"/>
  <c r="AS66" i="45"/>
  <c r="BA66" i="45"/>
  <c r="AQ68" i="45"/>
  <c r="AY68" i="45"/>
  <c r="AR68" i="45"/>
  <c r="AZ68" i="45"/>
  <c r="AS68" i="45"/>
  <c r="AR70" i="45"/>
  <c r="AS70" i="45"/>
  <c r="BA70" i="45"/>
  <c r="AQ74" i="45"/>
  <c r="AR74" i="45"/>
  <c r="AS74" i="45"/>
  <c r="BA74" i="45"/>
  <c r="AR75" i="45"/>
  <c r="AZ75" i="45"/>
  <c r="AS75" i="45"/>
  <c r="BA75" i="45"/>
  <c r="AQ77" i="45"/>
  <c r="AR77" i="45"/>
  <c r="AZ77" i="45"/>
  <c r="AS77" i="45"/>
  <c r="AQ78" i="45"/>
  <c r="AY78" i="45"/>
  <c r="AR78" i="45"/>
  <c r="AZ78" i="45"/>
  <c r="AS78" i="45"/>
  <c r="BA78" i="45"/>
  <c r="AR79" i="45"/>
  <c r="AZ79" i="45"/>
  <c r="AS79" i="45"/>
  <c r="BA79" i="45"/>
  <c r="AQ81" i="45"/>
  <c r="AR81" i="45"/>
  <c r="AZ81" i="45"/>
  <c r="AS81" i="45"/>
  <c r="AQ82" i="45"/>
  <c r="AY82" i="45"/>
  <c r="AR82" i="45"/>
  <c r="AS82" i="45"/>
  <c r="BA82" i="45"/>
  <c r="AQ83" i="45"/>
  <c r="AY83" i="45"/>
  <c r="AR83" i="45"/>
  <c r="AZ83" i="45"/>
  <c r="AS83" i="45"/>
  <c r="BA83" i="45"/>
  <c r="AQ84" i="45"/>
  <c r="AY84" i="45"/>
  <c r="AR84" i="45"/>
  <c r="AS84" i="45"/>
  <c r="BA84" i="45"/>
  <c r="AQ85" i="45"/>
  <c r="AY85" i="45"/>
  <c r="AR85" i="45"/>
  <c r="AZ85" i="45"/>
  <c r="AS85" i="45"/>
  <c r="BA85" i="45"/>
  <c r="AQ86" i="45"/>
  <c r="AY86" i="45"/>
  <c r="AR86" i="45"/>
  <c r="AZ86" i="45"/>
  <c r="AS86" i="45"/>
  <c r="BA86" i="45"/>
  <c r="AR87" i="45"/>
  <c r="AZ87" i="45"/>
  <c r="AS87" i="45"/>
  <c r="AQ89" i="45"/>
  <c r="AR89" i="45"/>
  <c r="AZ89" i="45"/>
  <c r="AS89" i="45"/>
  <c r="AQ90" i="45"/>
  <c r="AY90" i="45"/>
  <c r="AR90" i="45"/>
  <c r="AS90" i="45"/>
  <c r="BA90" i="45"/>
  <c r="AQ91" i="45"/>
  <c r="AY91" i="45"/>
  <c r="AR91" i="45"/>
  <c r="AZ91" i="45"/>
  <c r="AS91" i="45"/>
  <c r="BA91" i="45"/>
  <c r="AQ92" i="45"/>
  <c r="AY92" i="45"/>
  <c r="AR92" i="45"/>
  <c r="AZ92" i="45"/>
  <c r="AS92" i="45"/>
  <c r="BA92" i="45"/>
  <c r="AQ93" i="45"/>
  <c r="AY93" i="45"/>
  <c r="AR93" i="45"/>
  <c r="AZ93" i="45"/>
  <c r="AS93" i="45"/>
  <c r="BA93" i="45"/>
  <c r="AQ94" i="45"/>
  <c r="AY94" i="45"/>
  <c r="AR94" i="45"/>
  <c r="AZ94" i="45"/>
  <c r="AS94" i="45"/>
  <c r="BA94" i="45"/>
  <c r="AQ95" i="45"/>
  <c r="AY95" i="45"/>
  <c r="AR95" i="45"/>
  <c r="AZ95" i="45"/>
  <c r="AS95" i="45"/>
  <c r="BA95" i="45"/>
  <c r="AQ96" i="45"/>
  <c r="AY96" i="45"/>
  <c r="AR96" i="45"/>
  <c r="AZ96" i="45"/>
  <c r="AS96" i="45"/>
  <c r="BA96" i="45"/>
  <c r="AQ97" i="45"/>
  <c r="AY97" i="45"/>
  <c r="AR97" i="45"/>
  <c r="AZ97" i="45"/>
  <c r="AS97" i="45"/>
  <c r="BA97" i="45"/>
  <c r="AR98" i="45"/>
  <c r="AZ98" i="45"/>
  <c r="AS98" i="45"/>
  <c r="BA98" i="45"/>
  <c r="AQ100" i="45"/>
  <c r="AY100" i="45"/>
  <c r="AR100" i="45"/>
  <c r="AS100" i="45"/>
  <c r="BA100" i="45"/>
  <c r="AQ101" i="45"/>
  <c r="AY101" i="45"/>
  <c r="AR101" i="45"/>
  <c r="AZ101" i="45"/>
  <c r="AS101" i="45"/>
  <c r="AQ102" i="45"/>
  <c r="AY102" i="45"/>
  <c r="AR102" i="45"/>
  <c r="AZ102" i="45"/>
  <c r="AS102" i="45"/>
  <c r="BA102" i="45"/>
  <c r="AR103" i="45"/>
  <c r="AZ103" i="45"/>
  <c r="AS103" i="45"/>
  <c r="AQ105" i="45"/>
  <c r="AR105" i="45"/>
  <c r="AZ105" i="45"/>
  <c r="AS105" i="45"/>
  <c r="AQ106" i="45"/>
  <c r="AY106" i="45"/>
  <c r="AR106" i="45"/>
  <c r="AZ106" i="45"/>
  <c r="AS106" i="45"/>
  <c r="BA106" i="45"/>
  <c r="AR107" i="45"/>
  <c r="AZ107" i="45"/>
  <c r="AS107" i="45"/>
  <c r="BA107" i="45"/>
  <c r="AI104" i="45"/>
  <c r="AJ104" i="45"/>
  <c r="AK104" i="45"/>
  <c r="AI99" i="45"/>
  <c r="AJ99" i="45"/>
  <c r="AK99" i="45"/>
  <c r="AI88" i="45"/>
  <c r="AJ88" i="45"/>
  <c r="AK88" i="45"/>
  <c r="AI80" i="45"/>
  <c r="AJ80" i="45"/>
  <c r="AK80" i="45"/>
  <c r="AI76" i="45"/>
  <c r="AJ76" i="45"/>
  <c r="AK76" i="45"/>
  <c r="AI73" i="45"/>
  <c r="AJ73" i="45"/>
  <c r="AK73" i="45"/>
  <c r="AI67" i="45"/>
  <c r="AJ67" i="45"/>
  <c r="AK67" i="45"/>
  <c r="AI61" i="45"/>
  <c r="AJ61" i="45"/>
  <c r="AK61" i="45"/>
  <c r="AI57" i="45"/>
  <c r="AJ57" i="45"/>
  <c r="AK57" i="45"/>
  <c r="AI51" i="45"/>
  <c r="AJ51" i="45"/>
  <c r="AK51" i="45"/>
  <c r="AI46" i="45"/>
  <c r="AJ46" i="45"/>
  <c r="AK46" i="45"/>
  <c r="AI43" i="45"/>
  <c r="AJ43" i="45"/>
  <c r="AK43" i="45"/>
  <c r="AI28" i="45"/>
  <c r="AJ28" i="45"/>
  <c r="AK28" i="45"/>
  <c r="AI21" i="45"/>
  <c r="AJ21" i="45"/>
  <c r="AK21" i="45"/>
  <c r="AI18" i="45"/>
  <c r="AJ18" i="45"/>
  <c r="AK18" i="45"/>
  <c r="AK17" i="45"/>
  <c r="AI13" i="45"/>
  <c r="AJ13" i="45"/>
  <c r="AK13" i="45"/>
  <c r="AI9" i="45"/>
  <c r="AJ9" i="45"/>
  <c r="AK9" i="45"/>
  <c r="AE104" i="45"/>
  <c r="AF104" i="45"/>
  <c r="AG104" i="45"/>
  <c r="AE99" i="45"/>
  <c r="AF99" i="45"/>
  <c r="AG99" i="45"/>
  <c r="AE88" i="45"/>
  <c r="AF88" i="45"/>
  <c r="AG88" i="45"/>
  <c r="AE80" i="45"/>
  <c r="AF80" i="45"/>
  <c r="AG80" i="45"/>
  <c r="AG76" i="45"/>
  <c r="AE76" i="45"/>
  <c r="AF76" i="45"/>
  <c r="AE73" i="45"/>
  <c r="AF73" i="45"/>
  <c r="AG73" i="45"/>
  <c r="AE67" i="45"/>
  <c r="AF67" i="45"/>
  <c r="AG67" i="45"/>
  <c r="AG61" i="45"/>
  <c r="AE61" i="45"/>
  <c r="AF61" i="45"/>
  <c r="AE57" i="45"/>
  <c r="AF57" i="45"/>
  <c r="AG57" i="45"/>
  <c r="AE51" i="45"/>
  <c r="AF51" i="45"/>
  <c r="AG51" i="45"/>
  <c r="AE46" i="45"/>
  <c r="AF46" i="45"/>
  <c r="AG46" i="45"/>
  <c r="AG43" i="45"/>
  <c r="AE43" i="45"/>
  <c r="AF43" i="45"/>
  <c r="AE28" i="45"/>
  <c r="AF28" i="45"/>
  <c r="AG28" i="45"/>
  <c r="AE21" i="45"/>
  <c r="AF21" i="45"/>
  <c r="AG21" i="45"/>
  <c r="AE18" i="45"/>
  <c r="AF18" i="45"/>
  <c r="AG18" i="45"/>
  <c r="AE13" i="45"/>
  <c r="AF13" i="45"/>
  <c r="AG13" i="45"/>
  <c r="AG9" i="45"/>
  <c r="AF9" i="45"/>
  <c r="AE9" i="45"/>
  <c r="AL69" i="45"/>
  <c r="AH102" i="45"/>
  <c r="W69" i="45"/>
  <c r="W68" i="45"/>
  <c r="V44" i="45"/>
  <c r="F102" i="48"/>
  <c r="BJ102" i="48"/>
  <c r="AP107" i="45"/>
  <c r="E102" i="48"/>
  <c r="D102" i="48"/>
  <c r="BH102" i="48"/>
  <c r="AH107" i="45"/>
  <c r="C102" i="48"/>
  <c r="BG102" i="48"/>
  <c r="AD107" i="45"/>
  <c r="BJ107" i="45"/>
  <c r="F101" i="48"/>
  <c r="BJ101" i="48"/>
  <c r="AP106" i="45"/>
  <c r="E101" i="48"/>
  <c r="BI101" i="48"/>
  <c r="D101" i="48"/>
  <c r="BH101" i="48"/>
  <c r="AH106" i="45"/>
  <c r="C101" i="48"/>
  <c r="BG101" i="48"/>
  <c r="AD106" i="45"/>
  <c r="BJ106" i="45"/>
  <c r="F100" i="48"/>
  <c r="BJ100" i="48"/>
  <c r="AP105" i="45"/>
  <c r="E100" i="48"/>
  <c r="BI100" i="48"/>
  <c r="D100" i="48"/>
  <c r="BH100" i="48"/>
  <c r="AH105" i="45"/>
  <c r="C100" i="48"/>
  <c r="BG100" i="48"/>
  <c r="AD105" i="45"/>
  <c r="BJ105" i="45"/>
  <c r="B100" i="48"/>
  <c r="B99" i="48"/>
  <c r="BF99" i="48"/>
  <c r="BE99" i="48"/>
  <c r="BD99" i="48"/>
  <c r="BC99" i="48"/>
  <c r="BB99" i="48"/>
  <c r="BA99" i="48"/>
  <c r="AZ99" i="48"/>
  <c r="AY99" i="48"/>
  <c r="AX99" i="48"/>
  <c r="AW99" i="48"/>
  <c r="AV99" i="48"/>
  <c r="AU99" i="48"/>
  <c r="AT99" i="48"/>
  <c r="AS99" i="48"/>
  <c r="AR99" i="48"/>
  <c r="AQ99" i="48"/>
  <c r="AP99" i="48"/>
  <c r="AO99" i="48"/>
  <c r="AN99" i="48"/>
  <c r="AM99" i="48"/>
  <c r="AL99" i="48"/>
  <c r="AK99" i="48"/>
  <c r="AJ99" i="48"/>
  <c r="AI99" i="48"/>
  <c r="AH99" i="48"/>
  <c r="AG99" i="48"/>
  <c r="AF99" i="48"/>
  <c r="AE99" i="48"/>
  <c r="AD99" i="48"/>
  <c r="AC99" i="48"/>
  <c r="AB99" i="48"/>
  <c r="AA99" i="48"/>
  <c r="Z99" i="48"/>
  <c r="Y99" i="48"/>
  <c r="X99" i="48"/>
  <c r="W99" i="48"/>
  <c r="V99" i="48"/>
  <c r="U99" i="48"/>
  <c r="T99" i="48"/>
  <c r="S99" i="48"/>
  <c r="R99" i="48"/>
  <c r="Q99" i="48"/>
  <c r="P99" i="48"/>
  <c r="O99" i="48"/>
  <c r="N99" i="48"/>
  <c r="M99" i="48"/>
  <c r="L99" i="48"/>
  <c r="K99" i="48"/>
  <c r="J99" i="48"/>
  <c r="I99" i="48"/>
  <c r="H99" i="48"/>
  <c r="G99" i="48"/>
  <c r="AD98" i="48"/>
  <c r="AC98" i="48"/>
  <c r="AB98" i="48"/>
  <c r="AA98" i="48"/>
  <c r="V98" i="48"/>
  <c r="U98" i="48"/>
  <c r="T98" i="48"/>
  <c r="S98" i="48"/>
  <c r="S94" i="48"/>
  <c r="N98" i="48"/>
  <c r="M98" i="48"/>
  <c r="L98" i="48"/>
  <c r="K98" i="48"/>
  <c r="J98" i="48"/>
  <c r="I98" i="48"/>
  <c r="H98" i="48"/>
  <c r="G98" i="48"/>
  <c r="F98" i="48"/>
  <c r="E98" i="48"/>
  <c r="D98" i="48"/>
  <c r="C98" i="48"/>
  <c r="BJ97" i="48"/>
  <c r="AP102" i="45"/>
  <c r="BI97" i="48"/>
  <c r="BH97" i="48"/>
  <c r="BG97" i="48"/>
  <c r="AD102" i="45"/>
  <c r="BJ102" i="45"/>
  <c r="BF96" i="48"/>
  <c r="BE96" i="48"/>
  <c r="BD96" i="48"/>
  <c r="BC96" i="48"/>
  <c r="J96" i="48"/>
  <c r="I96" i="48"/>
  <c r="H96" i="48"/>
  <c r="G96" i="48"/>
  <c r="F96" i="48"/>
  <c r="E96" i="48"/>
  <c r="D96" i="48"/>
  <c r="C96" i="48"/>
  <c r="BB95" i="48"/>
  <c r="BA95" i="48"/>
  <c r="AZ95" i="48"/>
  <c r="AY95" i="48"/>
  <c r="AD95" i="48"/>
  <c r="AC95" i="48"/>
  <c r="AB95" i="48"/>
  <c r="AA95" i="48"/>
  <c r="V95" i="48"/>
  <c r="U95" i="48"/>
  <c r="T95" i="48"/>
  <c r="S95" i="48"/>
  <c r="N95" i="48"/>
  <c r="N94" i="48"/>
  <c r="M95" i="48"/>
  <c r="L95" i="48"/>
  <c r="K95" i="48"/>
  <c r="K94" i="48"/>
  <c r="J95" i="48"/>
  <c r="I95" i="48"/>
  <c r="H95" i="48"/>
  <c r="H94" i="48"/>
  <c r="G95" i="48"/>
  <c r="F95" i="48"/>
  <c r="E95" i="48"/>
  <c r="D95" i="48"/>
  <c r="C95" i="48"/>
  <c r="B95" i="48"/>
  <c r="AX94" i="48"/>
  <c r="AW94" i="48"/>
  <c r="AV94" i="48"/>
  <c r="AU94" i="48"/>
  <c r="AT94" i="48"/>
  <c r="AS94" i="48"/>
  <c r="AR94" i="48"/>
  <c r="AQ94" i="48"/>
  <c r="AP94" i="48"/>
  <c r="AO94" i="48"/>
  <c r="AN94" i="48"/>
  <c r="AM94" i="48"/>
  <c r="AL94" i="48"/>
  <c r="AK94" i="48"/>
  <c r="AJ94" i="48"/>
  <c r="AI94" i="48"/>
  <c r="AH94" i="48"/>
  <c r="AG94" i="48"/>
  <c r="AF94" i="48"/>
  <c r="AE94" i="48"/>
  <c r="AD94" i="48"/>
  <c r="Z94" i="48"/>
  <c r="Y94" i="48"/>
  <c r="X94" i="48"/>
  <c r="W94" i="48"/>
  <c r="R94" i="48"/>
  <c r="Q94" i="48"/>
  <c r="P94" i="48"/>
  <c r="O94" i="48"/>
  <c r="R93" i="48"/>
  <c r="Q93" i="48"/>
  <c r="P93" i="48"/>
  <c r="O93" i="48"/>
  <c r="F93" i="48"/>
  <c r="E93" i="48"/>
  <c r="D93" i="48"/>
  <c r="BH93" i="48"/>
  <c r="AH98" i="45"/>
  <c r="C93" i="48"/>
  <c r="R92" i="48"/>
  <c r="Q92" i="48"/>
  <c r="P92" i="48"/>
  <c r="O92" i="48"/>
  <c r="F92" i="48"/>
  <c r="E92" i="48"/>
  <c r="D92" i="48"/>
  <c r="C92" i="48"/>
  <c r="R91" i="48"/>
  <c r="Q91" i="48"/>
  <c r="P91" i="48"/>
  <c r="O91" i="48"/>
  <c r="F91" i="48"/>
  <c r="E91" i="48"/>
  <c r="BI91" i="48"/>
  <c r="D91" i="48"/>
  <c r="C91" i="48"/>
  <c r="R90" i="48"/>
  <c r="Q90" i="48"/>
  <c r="P90" i="48"/>
  <c r="O90" i="48"/>
  <c r="F90" i="48"/>
  <c r="E90" i="48"/>
  <c r="D90" i="48"/>
  <c r="BH90" i="48"/>
  <c r="AH95" i="45"/>
  <c r="C90" i="48"/>
  <c r="BJ89" i="48"/>
  <c r="AP94" i="45"/>
  <c r="BI89" i="48"/>
  <c r="BH89" i="48"/>
  <c r="AH94" i="45"/>
  <c r="BG89" i="48"/>
  <c r="AD94" i="45"/>
  <c r="R88" i="48"/>
  <c r="Q88" i="48"/>
  <c r="P88" i="48"/>
  <c r="O88" i="48"/>
  <c r="F88" i="48"/>
  <c r="E88" i="48"/>
  <c r="D88" i="48"/>
  <c r="C88" i="48"/>
  <c r="BJ87" i="48"/>
  <c r="AP92" i="45"/>
  <c r="BI87" i="48"/>
  <c r="BH87" i="48"/>
  <c r="AH92" i="45"/>
  <c r="BG87" i="48"/>
  <c r="AD92" i="45"/>
  <c r="BJ92" i="45"/>
  <c r="BJ86" i="48"/>
  <c r="AP91" i="45"/>
  <c r="BI86" i="48"/>
  <c r="BH86" i="48"/>
  <c r="AH91" i="45"/>
  <c r="BG86" i="48"/>
  <c r="AD91" i="45"/>
  <c r="BJ91" i="45"/>
  <c r="BJ85" i="48"/>
  <c r="AP90" i="45"/>
  <c r="BI85" i="48"/>
  <c r="BH85" i="48"/>
  <c r="AH90" i="45"/>
  <c r="BG85" i="48"/>
  <c r="AD90" i="45"/>
  <c r="BJ90" i="45"/>
  <c r="BJ84" i="48"/>
  <c r="AP89" i="45"/>
  <c r="BI84" i="48"/>
  <c r="BH84" i="48"/>
  <c r="AH89" i="45"/>
  <c r="BG84" i="48"/>
  <c r="AD89" i="45"/>
  <c r="BJ89" i="45"/>
  <c r="BF83" i="48"/>
  <c r="BE83" i="48"/>
  <c r="BD83" i="48"/>
  <c r="BC83" i="48"/>
  <c r="BB83" i="48"/>
  <c r="BA83" i="48"/>
  <c r="AZ83" i="48"/>
  <c r="AY83" i="48"/>
  <c r="AX83" i="48"/>
  <c r="AW83" i="48"/>
  <c r="AV83" i="48"/>
  <c r="AU83" i="48"/>
  <c r="AT83" i="48"/>
  <c r="AS83" i="48"/>
  <c r="AR83" i="48"/>
  <c r="AQ83" i="48"/>
  <c r="AP83" i="48"/>
  <c r="AO83" i="48"/>
  <c r="AN83" i="48"/>
  <c r="AM83" i="48"/>
  <c r="AL83" i="48"/>
  <c r="AK83" i="48"/>
  <c r="AJ83" i="48"/>
  <c r="AI83" i="48"/>
  <c r="AH83" i="48"/>
  <c r="AG83" i="48"/>
  <c r="AF83" i="48"/>
  <c r="AE83" i="48"/>
  <c r="AD83" i="48"/>
  <c r="AC83" i="48"/>
  <c r="AB83" i="48"/>
  <c r="AA83" i="48"/>
  <c r="Z83" i="48"/>
  <c r="Y83" i="48"/>
  <c r="X83" i="48"/>
  <c r="W83" i="48"/>
  <c r="V83" i="48"/>
  <c r="U83" i="48"/>
  <c r="T83" i="48"/>
  <c r="S83" i="48"/>
  <c r="N83" i="48"/>
  <c r="M83" i="48"/>
  <c r="L83" i="48"/>
  <c r="K83" i="48"/>
  <c r="J83" i="48"/>
  <c r="I83" i="48"/>
  <c r="H83" i="48"/>
  <c r="G83" i="48"/>
  <c r="B83" i="48"/>
  <c r="AH82" i="48"/>
  <c r="BJ82" i="48"/>
  <c r="AP87" i="45"/>
  <c r="AG82" i="48"/>
  <c r="AF82" i="48"/>
  <c r="AE82" i="48"/>
  <c r="F82" i="48"/>
  <c r="E82" i="48"/>
  <c r="D82" i="48"/>
  <c r="C82" i="48"/>
  <c r="AH81" i="48"/>
  <c r="AG81" i="48"/>
  <c r="AF81" i="48"/>
  <c r="AE81" i="48"/>
  <c r="F81" i="48"/>
  <c r="E81" i="48"/>
  <c r="D81" i="48"/>
  <c r="C81" i="48"/>
  <c r="AH80" i="48"/>
  <c r="AG80" i="48"/>
  <c r="AF80" i="48"/>
  <c r="AE80" i="48"/>
  <c r="F80" i="48"/>
  <c r="E80" i="48"/>
  <c r="D80" i="48"/>
  <c r="C80" i="48"/>
  <c r="AH79" i="48"/>
  <c r="AG79" i="48"/>
  <c r="AF79" i="48"/>
  <c r="AE79" i="48"/>
  <c r="F79" i="48"/>
  <c r="E79" i="48"/>
  <c r="D79" i="48"/>
  <c r="C79" i="48"/>
  <c r="AH78" i="48"/>
  <c r="AG78" i="48"/>
  <c r="AF78" i="48"/>
  <c r="AE78" i="48"/>
  <c r="F78" i="48"/>
  <c r="E78" i="48"/>
  <c r="D78" i="48"/>
  <c r="C78" i="48"/>
  <c r="AH77" i="48"/>
  <c r="AG77" i="48"/>
  <c r="AF77" i="48"/>
  <c r="AE77" i="48"/>
  <c r="F77" i="48"/>
  <c r="E77" i="48"/>
  <c r="D77" i="48"/>
  <c r="C77" i="48"/>
  <c r="AH76" i="48"/>
  <c r="AG76" i="48"/>
  <c r="AF76" i="48"/>
  <c r="AE76" i="48"/>
  <c r="F76" i="48"/>
  <c r="E76" i="48"/>
  <c r="D76" i="48"/>
  <c r="C76" i="48"/>
  <c r="B76" i="48"/>
  <c r="B75" i="48"/>
  <c r="BF75" i="48"/>
  <c r="BE75" i="48"/>
  <c r="BD75" i="48"/>
  <c r="BC75" i="48"/>
  <c r="BB75" i="48"/>
  <c r="BA75" i="48"/>
  <c r="AZ75" i="48"/>
  <c r="AY75" i="48"/>
  <c r="AX75" i="48"/>
  <c r="AW75" i="48"/>
  <c r="AV75" i="48"/>
  <c r="AU75" i="48"/>
  <c r="AT75" i="48"/>
  <c r="AS75" i="48"/>
  <c r="AR75" i="48"/>
  <c r="AQ75" i="48"/>
  <c r="AP75" i="48"/>
  <c r="AO75" i="48"/>
  <c r="AN75" i="48"/>
  <c r="AM75" i="48"/>
  <c r="AL75" i="48"/>
  <c r="AK75" i="48"/>
  <c r="AJ75" i="48"/>
  <c r="AI75" i="48"/>
  <c r="AD75" i="48"/>
  <c r="AC75" i="48"/>
  <c r="AB75" i="48"/>
  <c r="AA75" i="48"/>
  <c r="Z75" i="48"/>
  <c r="Y75" i="48"/>
  <c r="X75" i="48"/>
  <c r="X67" i="48"/>
  <c r="X66" i="48"/>
  <c r="W75" i="48"/>
  <c r="V75" i="48"/>
  <c r="U75" i="48"/>
  <c r="T75" i="48"/>
  <c r="S75" i="48"/>
  <c r="R75" i="48"/>
  <c r="Q75" i="48"/>
  <c r="P75" i="48"/>
  <c r="O75" i="48"/>
  <c r="N75" i="48"/>
  <c r="M75" i="48"/>
  <c r="L75" i="48"/>
  <c r="K75" i="48"/>
  <c r="J75" i="48"/>
  <c r="I75" i="48"/>
  <c r="H75" i="48"/>
  <c r="G75" i="48"/>
  <c r="BJ74" i="48"/>
  <c r="AP79" i="45"/>
  <c r="BI74" i="48"/>
  <c r="BH74" i="48"/>
  <c r="AH79" i="45"/>
  <c r="F74" i="48"/>
  <c r="E74" i="48"/>
  <c r="D74" i="48"/>
  <c r="C74" i="48"/>
  <c r="BG74" i="48"/>
  <c r="AD79" i="45"/>
  <c r="BJ79" i="45"/>
  <c r="F73" i="48"/>
  <c r="BJ73" i="48"/>
  <c r="AP78" i="45"/>
  <c r="E73" i="48"/>
  <c r="D73" i="48"/>
  <c r="BH73" i="48"/>
  <c r="AH78" i="45"/>
  <c r="C73" i="48"/>
  <c r="BG73" i="48"/>
  <c r="AD78" i="45"/>
  <c r="BJ78" i="45"/>
  <c r="F72" i="48"/>
  <c r="BJ72" i="48"/>
  <c r="AP77" i="45"/>
  <c r="E72" i="48"/>
  <c r="BI72" i="48"/>
  <c r="D72" i="48"/>
  <c r="BH72" i="48"/>
  <c r="AH77" i="45"/>
  <c r="C72" i="48"/>
  <c r="B72" i="48"/>
  <c r="BF71" i="48"/>
  <c r="BE71" i="48"/>
  <c r="BD71" i="48"/>
  <c r="BC71" i="48"/>
  <c r="BB71" i="48"/>
  <c r="BA71" i="48"/>
  <c r="AZ71" i="48"/>
  <c r="AY71" i="48"/>
  <c r="AX71" i="48"/>
  <c r="AW71" i="48"/>
  <c r="AV71" i="48"/>
  <c r="AU71" i="48"/>
  <c r="AT71" i="48"/>
  <c r="AS71" i="48"/>
  <c r="AR71" i="48"/>
  <c r="AQ71" i="48"/>
  <c r="AP71" i="48"/>
  <c r="AO71" i="48"/>
  <c r="AN71" i="48"/>
  <c r="AM71" i="48"/>
  <c r="AL71" i="48"/>
  <c r="AK71" i="48"/>
  <c r="AJ71" i="48"/>
  <c r="AI71" i="48"/>
  <c r="AH71" i="48"/>
  <c r="AG71" i="48"/>
  <c r="AF71" i="48"/>
  <c r="AE71" i="48"/>
  <c r="AD71" i="48"/>
  <c r="AC71" i="48"/>
  <c r="AB71" i="48"/>
  <c r="AA71" i="48"/>
  <c r="Z71" i="48"/>
  <c r="Y71" i="48"/>
  <c r="X71" i="48"/>
  <c r="W71" i="48"/>
  <c r="V71" i="48"/>
  <c r="U71" i="48"/>
  <c r="T71" i="48"/>
  <c r="S71" i="48"/>
  <c r="R71" i="48"/>
  <c r="Q71" i="48"/>
  <c r="P71" i="48"/>
  <c r="O71" i="48"/>
  <c r="N71" i="48"/>
  <c r="M71" i="48"/>
  <c r="L71" i="48"/>
  <c r="K71" i="48"/>
  <c r="J71" i="48"/>
  <c r="I71" i="48"/>
  <c r="H71" i="48"/>
  <c r="G71" i="48"/>
  <c r="AH70" i="48"/>
  <c r="AH68" i="48"/>
  <c r="AG70" i="48"/>
  <c r="AG68" i="48"/>
  <c r="AF70" i="48"/>
  <c r="AF68" i="48"/>
  <c r="AE70" i="48"/>
  <c r="AE68" i="48"/>
  <c r="N70" i="48"/>
  <c r="BJ70" i="48"/>
  <c r="AP75" i="45"/>
  <c r="M70" i="48"/>
  <c r="M68" i="48"/>
  <c r="L70" i="48"/>
  <c r="K70" i="48"/>
  <c r="K68" i="48"/>
  <c r="F70" i="48"/>
  <c r="F68" i="48"/>
  <c r="E70" i="48"/>
  <c r="D70" i="48"/>
  <c r="D68" i="48"/>
  <c r="C70" i="48"/>
  <c r="C68" i="48"/>
  <c r="BJ69" i="48"/>
  <c r="AP74" i="45"/>
  <c r="BI69" i="48"/>
  <c r="BH69" i="48"/>
  <c r="AH74" i="45"/>
  <c r="BG69" i="48"/>
  <c r="AD74" i="45"/>
  <c r="BJ74" i="45"/>
  <c r="B69" i="48"/>
  <c r="B68" i="48"/>
  <c r="BF68" i="48"/>
  <c r="BE68" i="48"/>
  <c r="BD68" i="48"/>
  <c r="BC68" i="48"/>
  <c r="BB68" i="48"/>
  <c r="BA68" i="48"/>
  <c r="AZ68" i="48"/>
  <c r="AY68" i="48"/>
  <c r="AX68" i="48"/>
  <c r="AW68" i="48"/>
  <c r="AV68" i="48"/>
  <c r="AU68" i="48"/>
  <c r="AT68" i="48"/>
  <c r="AS68" i="48"/>
  <c r="AR68" i="48"/>
  <c r="AQ68" i="48"/>
  <c r="AP68" i="48"/>
  <c r="AO68" i="48"/>
  <c r="AN68" i="48"/>
  <c r="AM68" i="48"/>
  <c r="AL68" i="48"/>
  <c r="AK68" i="48"/>
  <c r="AJ68" i="48"/>
  <c r="AI68" i="48"/>
  <c r="AD68" i="48"/>
  <c r="AC68" i="48"/>
  <c r="AB68" i="48"/>
  <c r="AA68" i="48"/>
  <c r="Z68" i="48"/>
  <c r="Y68" i="48"/>
  <c r="X68" i="48"/>
  <c r="W68" i="48"/>
  <c r="V68" i="48"/>
  <c r="U68" i="48"/>
  <c r="T68" i="48"/>
  <c r="S68" i="48"/>
  <c r="R68" i="48"/>
  <c r="Q68" i="48"/>
  <c r="P68" i="48"/>
  <c r="O68" i="48"/>
  <c r="J68" i="48"/>
  <c r="I68" i="48"/>
  <c r="H68" i="48"/>
  <c r="G68" i="48"/>
  <c r="Z65" i="48"/>
  <c r="Z63" i="48"/>
  <c r="Y65" i="48"/>
  <c r="BI65" i="48"/>
  <c r="X65" i="48"/>
  <c r="BH65" i="48"/>
  <c r="AH70" i="45"/>
  <c r="W65" i="48"/>
  <c r="BG65" i="48"/>
  <c r="AD70" i="45"/>
  <c r="BJ70" i="45"/>
  <c r="BJ64" i="48"/>
  <c r="AP68" i="45"/>
  <c r="BI64" i="48"/>
  <c r="BH64" i="48"/>
  <c r="AH68" i="45"/>
  <c r="BG64" i="48"/>
  <c r="AD68" i="45"/>
  <c r="BJ68" i="45"/>
  <c r="B64" i="48"/>
  <c r="B63" i="48"/>
  <c r="BF63" i="48"/>
  <c r="BE63" i="48"/>
  <c r="BD63" i="48"/>
  <c r="BC63" i="48"/>
  <c r="BB63" i="48"/>
  <c r="BA63" i="48"/>
  <c r="AZ63" i="48"/>
  <c r="AY63" i="48"/>
  <c r="AX63" i="48"/>
  <c r="AW63" i="48"/>
  <c r="AV63" i="48"/>
  <c r="AU63" i="48"/>
  <c r="AT63" i="48"/>
  <c r="AS63" i="48"/>
  <c r="AR63" i="48"/>
  <c r="AQ63" i="48"/>
  <c r="AP63" i="48"/>
  <c r="AO63" i="48"/>
  <c r="AN63" i="48"/>
  <c r="AM63" i="48"/>
  <c r="AL63" i="48"/>
  <c r="AK63" i="48"/>
  <c r="AJ63" i="48"/>
  <c r="AI63" i="48"/>
  <c r="AH63" i="48"/>
  <c r="AG63" i="48"/>
  <c r="AF63" i="48"/>
  <c r="AE63" i="48"/>
  <c r="AD63" i="48"/>
  <c r="AC63" i="48"/>
  <c r="AB63" i="48"/>
  <c r="AA63" i="48"/>
  <c r="W63" i="48"/>
  <c r="V63" i="48"/>
  <c r="U63" i="48"/>
  <c r="T63" i="48"/>
  <c r="S63" i="48"/>
  <c r="R63" i="48"/>
  <c r="Q63" i="48"/>
  <c r="P63" i="48"/>
  <c r="O63" i="48"/>
  <c r="N63" i="48"/>
  <c r="M63" i="48"/>
  <c r="L63" i="48"/>
  <c r="K63" i="48"/>
  <c r="J63" i="48"/>
  <c r="I63" i="48"/>
  <c r="H63" i="48"/>
  <c r="G63" i="48"/>
  <c r="F63" i="48"/>
  <c r="E63" i="48"/>
  <c r="D63" i="48"/>
  <c r="C63" i="48"/>
  <c r="BH62" i="48"/>
  <c r="AH66" i="45"/>
  <c r="BJ61" i="48"/>
  <c r="AP65" i="45"/>
  <c r="BI61" i="48"/>
  <c r="BH61" i="48"/>
  <c r="AH65" i="45"/>
  <c r="BG61" i="48"/>
  <c r="AD65" i="45"/>
  <c r="BJ65" i="45"/>
  <c r="Z60" i="48"/>
  <c r="Z57" i="48"/>
  <c r="Y60" i="48"/>
  <c r="X60" i="48"/>
  <c r="W60" i="48"/>
  <c r="BJ59" i="48"/>
  <c r="AP63" i="45"/>
  <c r="BF57" i="48"/>
  <c r="BE57" i="48"/>
  <c r="BD57" i="48"/>
  <c r="BD52" i="48"/>
  <c r="BD51" i="48"/>
  <c r="BC57" i="48"/>
  <c r="BB57" i="48"/>
  <c r="BA57" i="48"/>
  <c r="AZ57" i="48"/>
  <c r="AY57" i="48"/>
  <c r="AX57" i="48"/>
  <c r="AW57" i="48"/>
  <c r="AV57" i="48"/>
  <c r="AU57" i="48"/>
  <c r="AT57" i="48"/>
  <c r="AS57" i="48"/>
  <c r="AR57" i="48"/>
  <c r="AQ57" i="48"/>
  <c r="AP57" i="48"/>
  <c r="AO57" i="48"/>
  <c r="AN57" i="48"/>
  <c r="AN52" i="48"/>
  <c r="AN51" i="48"/>
  <c r="AM57" i="48"/>
  <c r="AL57" i="48"/>
  <c r="AK57" i="48"/>
  <c r="AJ57" i="48"/>
  <c r="AI57" i="48"/>
  <c r="AF57" i="48"/>
  <c r="AD57" i="48"/>
  <c r="AC57" i="48"/>
  <c r="AB57" i="48"/>
  <c r="AA57" i="48"/>
  <c r="V57" i="48"/>
  <c r="U57" i="48"/>
  <c r="T57" i="48"/>
  <c r="S57" i="48"/>
  <c r="R57" i="48"/>
  <c r="Q57" i="48"/>
  <c r="Q52" i="48"/>
  <c r="Q51" i="48"/>
  <c r="P57" i="48"/>
  <c r="P52" i="48"/>
  <c r="P51" i="48"/>
  <c r="O57" i="48"/>
  <c r="N57" i="48"/>
  <c r="M57" i="48"/>
  <c r="L57" i="48"/>
  <c r="K57" i="48"/>
  <c r="B57" i="48"/>
  <c r="BJ56" i="48"/>
  <c r="AP60" i="45"/>
  <c r="BI56" i="48"/>
  <c r="BH56" i="48"/>
  <c r="AH60" i="45"/>
  <c r="BG56" i="48"/>
  <c r="AD60" i="45"/>
  <c r="BJ60" i="45"/>
  <c r="BJ55" i="48"/>
  <c r="AP59" i="45"/>
  <c r="BI55" i="48"/>
  <c r="BH55" i="48"/>
  <c r="AH59" i="45"/>
  <c r="BG55" i="48"/>
  <c r="AD59" i="45"/>
  <c r="BJ59" i="45"/>
  <c r="AH54" i="48"/>
  <c r="AH53" i="48"/>
  <c r="AG54" i="48"/>
  <c r="AG53" i="48"/>
  <c r="AF54" i="48"/>
  <c r="AF53" i="48"/>
  <c r="AE54" i="48"/>
  <c r="J54" i="48"/>
  <c r="J53" i="48"/>
  <c r="I54" i="48"/>
  <c r="I53" i="48"/>
  <c r="H54" i="48"/>
  <c r="H53" i="48"/>
  <c r="G54" i="48"/>
  <c r="F54" i="48"/>
  <c r="E54" i="48"/>
  <c r="E53" i="48"/>
  <c r="D54" i="48"/>
  <c r="D53" i="48"/>
  <c r="C54" i="48"/>
  <c r="C53" i="48"/>
  <c r="B54" i="48"/>
  <c r="BF53" i="48"/>
  <c r="BE53" i="48"/>
  <c r="BD53" i="48"/>
  <c r="BC53" i="48"/>
  <c r="BB53" i="48"/>
  <c r="BA53" i="48"/>
  <c r="AZ53" i="48"/>
  <c r="AY53" i="48"/>
  <c r="AY52" i="48"/>
  <c r="AY51" i="48"/>
  <c r="AX53" i="48"/>
  <c r="AX52" i="48"/>
  <c r="AX51" i="48"/>
  <c r="AW53" i="48"/>
  <c r="AV53" i="48"/>
  <c r="AU53" i="48"/>
  <c r="AT53" i="48"/>
  <c r="AS53" i="48"/>
  <c r="AR53" i="48"/>
  <c r="AQ53" i="48"/>
  <c r="AP53" i="48"/>
  <c r="AO53" i="48"/>
  <c r="AO52" i="48"/>
  <c r="AO51" i="48"/>
  <c r="AN53" i="48"/>
  <c r="AM53" i="48"/>
  <c r="AM52" i="48"/>
  <c r="AM51" i="48"/>
  <c r="AL53" i="48"/>
  <c r="AL52" i="48"/>
  <c r="AL51" i="48"/>
  <c r="AK53" i="48"/>
  <c r="AJ53" i="48"/>
  <c r="AI53" i="48"/>
  <c r="AE53" i="48"/>
  <c r="AD53" i="48"/>
  <c r="AC53" i="48"/>
  <c r="AB53" i="48"/>
  <c r="AA53" i="48"/>
  <c r="Z53" i="48"/>
  <c r="Y53" i="48"/>
  <c r="X53" i="48"/>
  <c r="W53" i="48"/>
  <c r="V53" i="48"/>
  <c r="U53" i="48"/>
  <c r="T53" i="48"/>
  <c r="T52" i="48"/>
  <c r="T51" i="48"/>
  <c r="S53" i="48"/>
  <c r="S52" i="48"/>
  <c r="S51" i="48"/>
  <c r="R53" i="48"/>
  <c r="Q53" i="48"/>
  <c r="P53" i="48"/>
  <c r="O53" i="48"/>
  <c r="O52" i="48"/>
  <c r="O51" i="48"/>
  <c r="N53" i="48"/>
  <c r="M53" i="48"/>
  <c r="L53" i="48"/>
  <c r="K53" i="48"/>
  <c r="BG50" i="48"/>
  <c r="AD54" i="45"/>
  <c r="BJ54" i="45"/>
  <c r="Z50" i="48"/>
  <c r="Z47" i="48"/>
  <c r="Y50" i="48"/>
  <c r="BI50" i="48"/>
  <c r="X50" i="48"/>
  <c r="X47" i="48"/>
  <c r="W50" i="48"/>
  <c r="W47" i="48"/>
  <c r="BJ49" i="48"/>
  <c r="AP53" i="45"/>
  <c r="BI49" i="48"/>
  <c r="BH49" i="48"/>
  <c r="AH53" i="45"/>
  <c r="BG49" i="48"/>
  <c r="AD53" i="45"/>
  <c r="BJ53" i="45"/>
  <c r="BJ48" i="48"/>
  <c r="AP52" i="45"/>
  <c r="BI48" i="48"/>
  <c r="BH48" i="48"/>
  <c r="AH52" i="45"/>
  <c r="BG48" i="48"/>
  <c r="AD52" i="45"/>
  <c r="BJ52" i="45"/>
  <c r="B48" i="48"/>
  <c r="BF47" i="48"/>
  <c r="BE47" i="48"/>
  <c r="BD47" i="48"/>
  <c r="BC47" i="48"/>
  <c r="BB47" i="48"/>
  <c r="BA47" i="48"/>
  <c r="AZ47" i="48"/>
  <c r="AY47" i="48"/>
  <c r="AX47" i="48"/>
  <c r="AW47" i="48"/>
  <c r="AV47" i="48"/>
  <c r="AV41" i="48"/>
  <c r="AU47" i="48"/>
  <c r="AT47" i="48"/>
  <c r="AS47" i="48"/>
  <c r="AR47" i="48"/>
  <c r="AQ47" i="48"/>
  <c r="AP47" i="48"/>
  <c r="AO47" i="48"/>
  <c r="AO41" i="48"/>
  <c r="AN47" i="48"/>
  <c r="AN41" i="48"/>
  <c r="AM47" i="48"/>
  <c r="AL47" i="48"/>
  <c r="AK47" i="48"/>
  <c r="AJ47" i="48"/>
  <c r="AI47" i="48"/>
  <c r="AH47" i="48"/>
  <c r="AG47" i="48"/>
  <c r="AF47" i="48"/>
  <c r="AE47" i="48"/>
  <c r="AD47" i="48"/>
  <c r="AC47" i="48"/>
  <c r="AB47" i="48"/>
  <c r="AA47" i="48"/>
  <c r="V47" i="48"/>
  <c r="U47" i="48"/>
  <c r="T47" i="48"/>
  <c r="S47" i="48"/>
  <c r="R47" i="48"/>
  <c r="Q47" i="48"/>
  <c r="P47" i="48"/>
  <c r="O47" i="48"/>
  <c r="N47" i="48"/>
  <c r="M47" i="48"/>
  <c r="L47" i="48"/>
  <c r="K47" i="48"/>
  <c r="K41" i="48"/>
  <c r="J47" i="48"/>
  <c r="I47" i="48"/>
  <c r="H47" i="48"/>
  <c r="G47" i="48"/>
  <c r="F47" i="48"/>
  <c r="E47" i="48"/>
  <c r="D47" i="48"/>
  <c r="C47" i="48"/>
  <c r="BJ46" i="48"/>
  <c r="AP50" i="45"/>
  <c r="BI46" i="48"/>
  <c r="BH46" i="48"/>
  <c r="AH50" i="45"/>
  <c r="BG46" i="48"/>
  <c r="AD50" i="45"/>
  <c r="BJ50" i="45"/>
  <c r="BJ45" i="48"/>
  <c r="AP49" i="45"/>
  <c r="BI45" i="48"/>
  <c r="BH45" i="48"/>
  <c r="AH49" i="45"/>
  <c r="BG45" i="48"/>
  <c r="AD49" i="45"/>
  <c r="BJ49" i="45"/>
  <c r="BJ44" i="48"/>
  <c r="AP48" i="45"/>
  <c r="BI44" i="48"/>
  <c r="BH44" i="48"/>
  <c r="AH48" i="45"/>
  <c r="BG44" i="48"/>
  <c r="AD48" i="45"/>
  <c r="BJ48" i="45"/>
  <c r="BJ43" i="48"/>
  <c r="AP47" i="45"/>
  <c r="AP46" i="45"/>
  <c r="BI43" i="48"/>
  <c r="BH43" i="48"/>
  <c r="AH47" i="45"/>
  <c r="BG43" i="48"/>
  <c r="AD47" i="45"/>
  <c r="BJ47" i="45"/>
  <c r="B43" i="48"/>
  <c r="B42" i="48"/>
  <c r="BF42" i="48"/>
  <c r="BE42" i="48"/>
  <c r="BD42" i="48"/>
  <c r="BC42" i="48"/>
  <c r="BB42" i="48"/>
  <c r="BA42" i="48"/>
  <c r="AZ42" i="48"/>
  <c r="AY42" i="48"/>
  <c r="AY41" i="48"/>
  <c r="AX42" i="48"/>
  <c r="AW42" i="48"/>
  <c r="AV42" i="48"/>
  <c r="AU42" i="48"/>
  <c r="AT42" i="48"/>
  <c r="AS42" i="48"/>
  <c r="AR42" i="48"/>
  <c r="AQ42" i="48"/>
  <c r="AP42" i="48"/>
  <c r="AO42" i="48"/>
  <c r="AN42" i="48"/>
  <c r="AM42" i="48"/>
  <c r="AM41" i="48"/>
  <c r="AL42" i="48"/>
  <c r="AK42" i="48"/>
  <c r="AJ42" i="48"/>
  <c r="AI42" i="48"/>
  <c r="AH42" i="48"/>
  <c r="AG42" i="48"/>
  <c r="AF42" i="48"/>
  <c r="AE42" i="48"/>
  <c r="AD42" i="48"/>
  <c r="AC42" i="48"/>
  <c r="AB42" i="48"/>
  <c r="AA42" i="48"/>
  <c r="AA41" i="48"/>
  <c r="Z42" i="48"/>
  <c r="Y42" i="48"/>
  <c r="X42" i="48"/>
  <c r="W42" i="48"/>
  <c r="V42" i="48"/>
  <c r="U42" i="48"/>
  <c r="T42" i="48"/>
  <c r="S42" i="48"/>
  <c r="R42" i="48"/>
  <c r="Q42" i="48"/>
  <c r="P42" i="48"/>
  <c r="P41" i="48"/>
  <c r="O42" i="48"/>
  <c r="N42" i="48"/>
  <c r="M42" i="48"/>
  <c r="M41" i="48"/>
  <c r="L42" i="48"/>
  <c r="K42" i="48"/>
  <c r="J42" i="48"/>
  <c r="I42" i="48"/>
  <c r="H42" i="48"/>
  <c r="G42" i="48"/>
  <c r="G41" i="48"/>
  <c r="F42" i="48"/>
  <c r="E42" i="48"/>
  <c r="D42" i="48"/>
  <c r="C42" i="48"/>
  <c r="AS41" i="48"/>
  <c r="H41" i="48"/>
  <c r="BF39" i="48"/>
  <c r="BE39" i="48"/>
  <c r="BD39" i="48"/>
  <c r="BC39" i="48"/>
  <c r="BB39" i="48"/>
  <c r="BA39" i="48"/>
  <c r="AZ39" i="48"/>
  <c r="AY39" i="48"/>
  <c r="AX39" i="48"/>
  <c r="AW39" i="48"/>
  <c r="AV39" i="48"/>
  <c r="AU39" i="48"/>
  <c r="AU23" i="48"/>
  <c r="AT39" i="48"/>
  <c r="AS39" i="48"/>
  <c r="AR39" i="48"/>
  <c r="AQ39" i="48"/>
  <c r="AP39" i="48"/>
  <c r="AO39" i="48"/>
  <c r="AN39" i="48"/>
  <c r="AM39" i="48"/>
  <c r="AL39" i="48"/>
  <c r="AL23" i="48"/>
  <c r="AK39" i="48"/>
  <c r="AJ39" i="48"/>
  <c r="AI39" i="48"/>
  <c r="AH39" i="48"/>
  <c r="AG39" i="48"/>
  <c r="AF39" i="48"/>
  <c r="AE39" i="48"/>
  <c r="AD39" i="48"/>
  <c r="AC39" i="48"/>
  <c r="AB39" i="48"/>
  <c r="AA39" i="48"/>
  <c r="Z39" i="48"/>
  <c r="Y39" i="48"/>
  <c r="X39" i="48"/>
  <c r="W39" i="48"/>
  <c r="V39" i="48"/>
  <c r="U39" i="48"/>
  <c r="T39" i="48"/>
  <c r="S39" i="48"/>
  <c r="R39" i="48"/>
  <c r="Q39" i="48"/>
  <c r="P39" i="48"/>
  <c r="O39" i="48"/>
  <c r="N39" i="48"/>
  <c r="M39" i="48"/>
  <c r="L39" i="48"/>
  <c r="K39" i="48"/>
  <c r="B39" i="48"/>
  <c r="BJ38" i="48"/>
  <c r="AP42" i="45"/>
  <c r="BI38" i="48"/>
  <c r="BH38" i="48"/>
  <c r="AH42" i="45"/>
  <c r="BG38" i="48"/>
  <c r="AD42" i="45"/>
  <c r="BJ42" i="45"/>
  <c r="BJ37" i="48"/>
  <c r="AP41" i="45"/>
  <c r="BI37" i="48"/>
  <c r="BH37" i="48"/>
  <c r="AH41" i="45"/>
  <c r="BG37" i="48"/>
  <c r="AD41" i="45"/>
  <c r="BJ41" i="45"/>
  <c r="BJ36" i="48"/>
  <c r="AP40" i="45"/>
  <c r="BI36" i="48"/>
  <c r="BH36" i="48"/>
  <c r="AH40" i="45"/>
  <c r="BG36" i="48"/>
  <c r="AD40" i="45"/>
  <c r="BJ40" i="45"/>
  <c r="BJ35" i="48"/>
  <c r="AP39" i="45"/>
  <c r="BI35" i="48"/>
  <c r="BH35" i="48"/>
  <c r="AH39" i="45"/>
  <c r="BG35" i="48"/>
  <c r="AD39" i="45"/>
  <c r="BJ39" i="45"/>
  <c r="BJ34" i="48"/>
  <c r="AP38" i="45"/>
  <c r="BI34" i="48"/>
  <c r="BH34" i="48"/>
  <c r="AH38" i="45"/>
  <c r="BG34" i="48"/>
  <c r="AD38" i="45"/>
  <c r="BJ33" i="48"/>
  <c r="AP37" i="45"/>
  <c r="BI33" i="48"/>
  <c r="BH33" i="48"/>
  <c r="AH37" i="45"/>
  <c r="BG33" i="48"/>
  <c r="AD37" i="45"/>
  <c r="BJ37" i="45"/>
  <c r="BJ32" i="48"/>
  <c r="AP36" i="45"/>
  <c r="BI32" i="48"/>
  <c r="BH32" i="48"/>
  <c r="AH36" i="45"/>
  <c r="BG32" i="48"/>
  <c r="AD36" i="45"/>
  <c r="BJ36" i="45"/>
  <c r="BJ31" i="48"/>
  <c r="AP35" i="45"/>
  <c r="BI31" i="48"/>
  <c r="BH31" i="48"/>
  <c r="AH35" i="45"/>
  <c r="BG31" i="48"/>
  <c r="AD35" i="45"/>
  <c r="BJ35" i="45"/>
  <c r="BJ30" i="48"/>
  <c r="AP34" i="45"/>
  <c r="BI30" i="48"/>
  <c r="BH30" i="48"/>
  <c r="AH34" i="45"/>
  <c r="BG30" i="48"/>
  <c r="AD34" i="45"/>
  <c r="BJ34" i="45"/>
  <c r="BJ29" i="48"/>
  <c r="AP33" i="45"/>
  <c r="BI29" i="48"/>
  <c r="BH29" i="48"/>
  <c r="AH33" i="45"/>
  <c r="BG29" i="48"/>
  <c r="AD33" i="45"/>
  <c r="BJ33" i="45"/>
  <c r="BJ28" i="48"/>
  <c r="AP32" i="45"/>
  <c r="BI28" i="48"/>
  <c r="BH28" i="48"/>
  <c r="AH32" i="45"/>
  <c r="BG28" i="48"/>
  <c r="AD32" i="45"/>
  <c r="BJ32" i="45"/>
  <c r="BJ27" i="48"/>
  <c r="AP31" i="45"/>
  <c r="BI27" i="48"/>
  <c r="BH27" i="48"/>
  <c r="AH31" i="45"/>
  <c r="BG27" i="48"/>
  <c r="AD31" i="45"/>
  <c r="BJ31" i="45"/>
  <c r="Z26" i="48"/>
  <c r="Y26" i="48"/>
  <c r="BI26" i="48"/>
  <c r="X26" i="48"/>
  <c r="X24" i="48"/>
  <c r="W26" i="48"/>
  <c r="BG26" i="48"/>
  <c r="AD30" i="45"/>
  <c r="BJ25" i="48"/>
  <c r="AP29" i="45"/>
  <c r="BI25" i="48"/>
  <c r="BH25" i="48"/>
  <c r="AH29" i="45"/>
  <c r="BG25" i="48"/>
  <c r="AD29" i="45"/>
  <c r="BJ29" i="45"/>
  <c r="B25" i="48"/>
  <c r="BF24" i="48"/>
  <c r="BE24" i="48"/>
  <c r="BE23" i="48"/>
  <c r="BD24" i="48"/>
  <c r="BC24" i="48"/>
  <c r="BB24" i="48"/>
  <c r="BA24" i="48"/>
  <c r="AZ24" i="48"/>
  <c r="AY24" i="48"/>
  <c r="AY23" i="48"/>
  <c r="AX24" i="48"/>
  <c r="AW24" i="48"/>
  <c r="AV24" i="48"/>
  <c r="AU24" i="48"/>
  <c r="AT24" i="48"/>
  <c r="AS24" i="48"/>
  <c r="AR24" i="48"/>
  <c r="AQ24" i="48"/>
  <c r="AP24" i="48"/>
  <c r="AP23" i="48"/>
  <c r="AO24" i="48"/>
  <c r="AN24" i="48"/>
  <c r="AM24" i="48"/>
  <c r="AL24" i="48"/>
  <c r="AK24" i="48"/>
  <c r="AJ24" i="48"/>
  <c r="AI24" i="48"/>
  <c r="AH24" i="48"/>
  <c r="AG24" i="48"/>
  <c r="AG23" i="48"/>
  <c r="AF24" i="48"/>
  <c r="AE24" i="48"/>
  <c r="AD24" i="48"/>
  <c r="AC24" i="48"/>
  <c r="AB24" i="48"/>
  <c r="AA24" i="48"/>
  <c r="AA23" i="48"/>
  <c r="V24" i="48"/>
  <c r="U24" i="48"/>
  <c r="U23" i="48"/>
  <c r="T24" i="48"/>
  <c r="S24" i="48"/>
  <c r="R24" i="48"/>
  <c r="Q24" i="48"/>
  <c r="P24" i="48"/>
  <c r="O24" i="48"/>
  <c r="N24" i="48"/>
  <c r="M24" i="48"/>
  <c r="L24" i="48"/>
  <c r="K24" i="48"/>
  <c r="K23" i="48"/>
  <c r="J24" i="48"/>
  <c r="I24" i="48"/>
  <c r="H24" i="48"/>
  <c r="G24" i="48"/>
  <c r="F24" i="48"/>
  <c r="E24" i="48"/>
  <c r="D24" i="48"/>
  <c r="C24" i="48"/>
  <c r="F21" i="48"/>
  <c r="BJ21" i="48"/>
  <c r="AP25" i="45"/>
  <c r="E21" i="48"/>
  <c r="BI21" i="48"/>
  <c r="D21" i="48"/>
  <c r="C21" i="48"/>
  <c r="BG21" i="48"/>
  <c r="AD25" i="45"/>
  <c r="BJ25" i="45"/>
  <c r="F20" i="48"/>
  <c r="BJ20" i="48"/>
  <c r="AP24" i="45"/>
  <c r="E20" i="48"/>
  <c r="D20" i="48"/>
  <c r="BH20" i="48"/>
  <c r="AH24" i="45"/>
  <c r="C20" i="48"/>
  <c r="BJ19" i="48"/>
  <c r="AP23" i="45"/>
  <c r="BI19" i="48"/>
  <c r="BH19" i="48"/>
  <c r="AH23" i="45"/>
  <c r="BG19" i="48"/>
  <c r="AD23" i="45"/>
  <c r="BJ23" i="45"/>
  <c r="BJ18" i="48"/>
  <c r="AP22" i="45"/>
  <c r="BI18" i="48"/>
  <c r="BH18" i="48"/>
  <c r="AH22" i="45"/>
  <c r="BG18" i="48"/>
  <c r="AD22" i="45"/>
  <c r="BJ22" i="45"/>
  <c r="B18" i="48"/>
  <c r="B17" i="48"/>
  <c r="BF17" i="48"/>
  <c r="BE17" i="48"/>
  <c r="BD17" i="48"/>
  <c r="BC17" i="48"/>
  <c r="BB17" i="48"/>
  <c r="BA17" i="48"/>
  <c r="AZ17" i="48"/>
  <c r="AY17" i="48"/>
  <c r="AX17" i="48"/>
  <c r="AW17" i="48"/>
  <c r="AV17" i="48"/>
  <c r="AU17" i="48"/>
  <c r="AT17" i="48"/>
  <c r="AS17" i="48"/>
  <c r="AR17" i="48"/>
  <c r="AQ17" i="48"/>
  <c r="AP17" i="48"/>
  <c r="AO17" i="48"/>
  <c r="AN17" i="48"/>
  <c r="AM17" i="48"/>
  <c r="AL17" i="48"/>
  <c r="AK17" i="48"/>
  <c r="AJ17" i="48"/>
  <c r="AI17" i="48"/>
  <c r="AH17" i="48"/>
  <c r="AG17" i="48"/>
  <c r="AF17" i="48"/>
  <c r="AE17" i="48"/>
  <c r="AD17" i="48"/>
  <c r="AC17" i="48"/>
  <c r="AB17" i="48"/>
  <c r="AA17" i="48"/>
  <c r="Z17" i="48"/>
  <c r="Y17" i="48"/>
  <c r="X17" i="48"/>
  <c r="W17" i="48"/>
  <c r="V17" i="48"/>
  <c r="U17" i="48"/>
  <c r="T17" i="48"/>
  <c r="S17" i="48"/>
  <c r="R17" i="48"/>
  <c r="Q17" i="48"/>
  <c r="P17" i="48"/>
  <c r="O17" i="48"/>
  <c r="N17" i="48"/>
  <c r="M17" i="48"/>
  <c r="L17" i="48"/>
  <c r="K17" i="48"/>
  <c r="J17" i="48"/>
  <c r="I17" i="48"/>
  <c r="H17" i="48"/>
  <c r="G17" i="48"/>
  <c r="BJ16" i="48"/>
  <c r="AP20" i="45"/>
  <c r="BI16" i="48"/>
  <c r="BH16" i="48"/>
  <c r="AH20" i="45"/>
  <c r="BG16" i="48"/>
  <c r="AD20" i="45"/>
  <c r="BJ20" i="45"/>
  <c r="BJ15" i="48"/>
  <c r="AP19" i="45"/>
  <c r="BI15" i="48"/>
  <c r="BH15" i="48"/>
  <c r="AH19" i="45"/>
  <c r="BG15" i="48"/>
  <c r="AD19" i="45"/>
  <c r="BJ19" i="45"/>
  <c r="BF14" i="48"/>
  <c r="BF13" i="48"/>
  <c r="BE14" i="48"/>
  <c r="BE13" i="48"/>
  <c r="BD14" i="48"/>
  <c r="BD13" i="48"/>
  <c r="BC14" i="48"/>
  <c r="BB14" i="48"/>
  <c r="BA14" i="48"/>
  <c r="AZ14" i="48"/>
  <c r="AY14" i="48"/>
  <c r="AY13" i="48"/>
  <c r="AX14" i="48"/>
  <c r="AX13" i="48"/>
  <c r="AW14" i="48"/>
  <c r="AW13" i="48"/>
  <c r="AV14" i="48"/>
  <c r="AU14" i="48"/>
  <c r="AT14" i="48"/>
  <c r="AT13" i="48"/>
  <c r="AS14" i="48"/>
  <c r="AR14" i="48"/>
  <c r="AQ14" i="48"/>
  <c r="AP14" i="48"/>
  <c r="AP13" i="48"/>
  <c r="AO14" i="48"/>
  <c r="AO13" i="48"/>
  <c r="AN14" i="48"/>
  <c r="AM14" i="48"/>
  <c r="AL14" i="48"/>
  <c r="AK14" i="48"/>
  <c r="AJ14" i="48"/>
  <c r="AI14" i="48"/>
  <c r="AI13" i="48"/>
  <c r="AH14" i="48"/>
  <c r="AH13" i="48"/>
  <c r="AG14" i="48"/>
  <c r="AG13" i="48"/>
  <c r="AF14" i="48"/>
  <c r="AF13" i="48"/>
  <c r="AE14" i="48"/>
  <c r="AD14" i="48"/>
  <c r="AC14" i="48"/>
  <c r="AB14" i="48"/>
  <c r="AA14" i="48"/>
  <c r="AA13" i="48"/>
  <c r="Z14" i="48"/>
  <c r="Z13" i="48"/>
  <c r="Y14" i="48"/>
  <c r="Y13" i="48"/>
  <c r="X14" i="48"/>
  <c r="W14" i="48"/>
  <c r="V14" i="48"/>
  <c r="U14" i="48"/>
  <c r="T14" i="48"/>
  <c r="S14" i="48"/>
  <c r="S13" i="48"/>
  <c r="R14" i="48"/>
  <c r="R13" i="48"/>
  <c r="Q14" i="48"/>
  <c r="P14" i="48"/>
  <c r="O14" i="48"/>
  <c r="N14" i="48"/>
  <c r="N13" i="48"/>
  <c r="M14" i="48"/>
  <c r="M13" i="48"/>
  <c r="L14" i="48"/>
  <c r="K14" i="48"/>
  <c r="K13" i="48"/>
  <c r="J14" i="48"/>
  <c r="J13" i="48"/>
  <c r="I14" i="48"/>
  <c r="H14" i="48"/>
  <c r="H13" i="48"/>
  <c r="G14" i="48"/>
  <c r="F14" i="48"/>
  <c r="E14" i="48"/>
  <c r="D14" i="48"/>
  <c r="C14" i="48"/>
  <c r="B14" i="48"/>
  <c r="BA13" i="48"/>
  <c r="AL13" i="48"/>
  <c r="AC13" i="48"/>
  <c r="BJ12" i="48"/>
  <c r="AP16" i="45"/>
  <c r="BI12" i="48"/>
  <c r="BH12" i="48"/>
  <c r="AH16" i="45"/>
  <c r="BG12" i="48"/>
  <c r="AD16" i="45"/>
  <c r="BJ16" i="45"/>
  <c r="F11" i="48"/>
  <c r="BJ11" i="48"/>
  <c r="AP15" i="45"/>
  <c r="E11" i="48"/>
  <c r="BI11" i="48"/>
  <c r="D11" i="48"/>
  <c r="D9" i="48"/>
  <c r="C11" i="48"/>
  <c r="C9" i="48"/>
  <c r="BJ10" i="48"/>
  <c r="AP14" i="45"/>
  <c r="BI10" i="48"/>
  <c r="BH10" i="48"/>
  <c r="AH14" i="45"/>
  <c r="BG10" i="48"/>
  <c r="AD14" i="45"/>
  <c r="B10" i="48"/>
  <c r="B9" i="48"/>
  <c r="BF9" i="48"/>
  <c r="BE9" i="48"/>
  <c r="BD9" i="48"/>
  <c r="BC9" i="48"/>
  <c r="BB9" i="48"/>
  <c r="BA9" i="48"/>
  <c r="AZ9" i="48"/>
  <c r="AY9" i="48"/>
  <c r="AX9" i="48"/>
  <c r="AW9" i="48"/>
  <c r="AV9" i="48"/>
  <c r="AU9" i="48"/>
  <c r="AT9" i="48"/>
  <c r="AS9" i="48"/>
  <c r="AR9" i="48"/>
  <c r="AQ9" i="48"/>
  <c r="AP9" i="48"/>
  <c r="AO9" i="48"/>
  <c r="AN9" i="48"/>
  <c r="AM9" i="48"/>
  <c r="AL9" i="48"/>
  <c r="AK9" i="48"/>
  <c r="AJ9" i="48"/>
  <c r="AI9" i="48"/>
  <c r="AH9" i="48"/>
  <c r="AG9" i="48"/>
  <c r="AF9" i="48"/>
  <c r="AE9" i="48"/>
  <c r="AD9" i="48"/>
  <c r="AC9" i="48"/>
  <c r="AC4" i="48"/>
  <c r="AB9" i="48"/>
  <c r="AB4" i="48"/>
  <c r="AA9" i="48"/>
  <c r="Z9" i="48"/>
  <c r="Y9" i="48"/>
  <c r="X9" i="48"/>
  <c r="W9" i="48"/>
  <c r="V9" i="48"/>
  <c r="U9" i="48"/>
  <c r="U4" i="48"/>
  <c r="T9" i="48"/>
  <c r="S9" i="48"/>
  <c r="R9" i="48"/>
  <c r="Q9" i="48"/>
  <c r="P9" i="48"/>
  <c r="O9" i="48"/>
  <c r="N9" i="48"/>
  <c r="M9" i="48"/>
  <c r="L9" i="48"/>
  <c r="K9" i="48"/>
  <c r="J9" i="48"/>
  <c r="I9" i="48"/>
  <c r="H9" i="48"/>
  <c r="G9" i="48"/>
  <c r="F9" i="48"/>
  <c r="BJ9" i="48"/>
  <c r="E9" i="48"/>
  <c r="BJ8" i="48"/>
  <c r="AP12" i="45"/>
  <c r="BG8" i="48"/>
  <c r="AD12" i="45"/>
  <c r="BJ12" i="45"/>
  <c r="F8" i="48"/>
  <c r="E8" i="48"/>
  <c r="BI8" i="48"/>
  <c r="D8" i="48"/>
  <c r="BH8" i="48"/>
  <c r="AH12" i="45"/>
  <c r="BG7" i="48"/>
  <c r="AD11" i="45"/>
  <c r="BJ11" i="45"/>
  <c r="F7" i="48"/>
  <c r="E7" i="48"/>
  <c r="D7" i="48"/>
  <c r="D5" i="48"/>
  <c r="BJ6" i="48"/>
  <c r="AP10" i="45"/>
  <c r="BI6" i="48"/>
  <c r="BH6" i="48"/>
  <c r="AH10" i="45"/>
  <c r="BG6" i="48"/>
  <c r="AD10" i="45"/>
  <c r="BJ10" i="45"/>
  <c r="B6" i="48"/>
  <c r="B5" i="48"/>
  <c r="B4" i="48"/>
  <c r="BF5" i="48"/>
  <c r="BF4" i="48"/>
  <c r="BE5" i="48"/>
  <c r="BD5" i="48"/>
  <c r="BC5" i="48"/>
  <c r="BC4" i="48"/>
  <c r="BB5" i="48"/>
  <c r="BA5" i="48"/>
  <c r="AZ5" i="48"/>
  <c r="AY5" i="48"/>
  <c r="AX5" i="48"/>
  <c r="AW5" i="48"/>
  <c r="AW4" i="48"/>
  <c r="AV5" i="48"/>
  <c r="AU5" i="48"/>
  <c r="AT5" i="48"/>
  <c r="AS5" i="48"/>
  <c r="AR5" i="48"/>
  <c r="AQ5" i="48"/>
  <c r="AP5" i="48"/>
  <c r="AO5" i="48"/>
  <c r="AN5" i="48"/>
  <c r="AM5" i="48"/>
  <c r="AL5" i="48"/>
  <c r="AK5" i="48"/>
  <c r="AJ5" i="48"/>
  <c r="AI5" i="48"/>
  <c r="AI4" i="48"/>
  <c r="AH5" i="48"/>
  <c r="AH4" i="48"/>
  <c r="AG5" i="48"/>
  <c r="AF5" i="48"/>
  <c r="AE5" i="48"/>
  <c r="AD5" i="48"/>
  <c r="AC5" i="48"/>
  <c r="AB5" i="48"/>
  <c r="AA5" i="48"/>
  <c r="Z5" i="48"/>
  <c r="Y5" i="48"/>
  <c r="Y4" i="48"/>
  <c r="X5" i="48"/>
  <c r="W5" i="48"/>
  <c r="V5" i="48"/>
  <c r="U5" i="48"/>
  <c r="T5" i="48"/>
  <c r="S5" i="48"/>
  <c r="S4" i="48"/>
  <c r="R5" i="48"/>
  <c r="Q5" i="48"/>
  <c r="P5" i="48"/>
  <c r="O5" i="48"/>
  <c r="N5" i="48"/>
  <c r="M5" i="48"/>
  <c r="L5" i="48"/>
  <c r="K5" i="48"/>
  <c r="K4" i="48"/>
  <c r="J5" i="48"/>
  <c r="J4" i="48"/>
  <c r="I5" i="48"/>
  <c r="H5" i="48"/>
  <c r="G5" i="48"/>
  <c r="C5" i="48"/>
  <c r="AT4" i="48"/>
  <c r="AK45" i="45"/>
  <c r="AJ45" i="45"/>
  <c r="F67" i="73"/>
  <c r="F68" i="73"/>
  <c r="F69" i="73"/>
  <c r="L28" i="76"/>
  <c r="L14" i="76"/>
  <c r="E67" i="73"/>
  <c r="F45" i="73"/>
  <c r="F46" i="73"/>
  <c r="F47" i="73"/>
  <c r="L8" i="76"/>
  <c r="O33" i="59"/>
  <c r="O34" i="59"/>
  <c r="E16" i="76"/>
  <c r="O41" i="48"/>
  <c r="BJ65" i="48"/>
  <c r="AP70" i="45"/>
  <c r="AA94" i="48"/>
  <c r="AI45" i="45"/>
  <c r="I114" i="70"/>
  <c r="I94" i="70"/>
  <c r="C8" i="76"/>
  <c r="AV23" i="48"/>
  <c r="AE8" i="45"/>
  <c r="F27" i="54"/>
  <c r="D11" i="76"/>
  <c r="L11" i="76"/>
  <c r="G20" i="60"/>
  <c r="D8" i="60"/>
  <c r="E17" i="76"/>
  <c r="Q22" i="61"/>
  <c r="D8" i="61"/>
  <c r="E18" i="76"/>
  <c r="I76" i="70"/>
  <c r="I24" i="70"/>
  <c r="I21" i="71"/>
  <c r="Y24" i="48"/>
  <c r="AA52" i="48"/>
  <c r="AA51" i="48"/>
  <c r="AO67" i="48"/>
  <c r="AO66" i="48"/>
  <c r="AC94" i="48"/>
  <c r="E27" i="54"/>
  <c r="C11" i="76"/>
  <c r="H28" i="76"/>
  <c r="AG41" i="48"/>
  <c r="BE41" i="48"/>
  <c r="BE22" i="48"/>
  <c r="AB52" i="48"/>
  <c r="AB51" i="48"/>
  <c r="AQ52" i="48"/>
  <c r="AQ51" i="48"/>
  <c r="BC52" i="48"/>
  <c r="BC51" i="48"/>
  <c r="BG90" i="48"/>
  <c r="AD95" i="45"/>
  <c r="BJ95" i="45"/>
  <c r="BG93" i="48"/>
  <c r="AD98" i="45"/>
  <c r="BJ98" i="45"/>
  <c r="AG8" i="45"/>
  <c r="AS46" i="45"/>
  <c r="H27" i="54"/>
  <c r="F11" i="76"/>
  <c r="P30" i="59"/>
  <c r="I22" i="65"/>
  <c r="E42" i="68"/>
  <c r="D8" i="68"/>
  <c r="E25" i="76"/>
  <c r="I21" i="69"/>
  <c r="E13" i="76"/>
  <c r="C9" i="76"/>
  <c r="BI62" i="48"/>
  <c r="M23" i="48"/>
  <c r="M22" i="48"/>
  <c r="AN23" i="48"/>
  <c r="AN22" i="48"/>
  <c r="BJ62" i="48"/>
  <c r="AP66" i="45"/>
  <c r="G4" i="48"/>
  <c r="AE4" i="48"/>
  <c r="AN4" i="48"/>
  <c r="AZ4" i="48"/>
  <c r="R4" i="48"/>
  <c r="R3" i="48"/>
  <c r="AP4" i="48"/>
  <c r="AP3" i="48"/>
  <c r="T41" i="48"/>
  <c r="AR41" i="48"/>
  <c r="S41" i="48"/>
  <c r="BI90" i="48"/>
  <c r="BI93" i="48"/>
  <c r="AR67" i="45"/>
  <c r="BD27" i="45"/>
  <c r="N30" i="59"/>
  <c r="AQ13" i="48"/>
  <c r="BC13" i="48"/>
  <c r="BG92" i="48"/>
  <c r="AD97" i="45"/>
  <c r="BJ97" i="45"/>
  <c r="L42" i="69"/>
  <c r="F42" i="75"/>
  <c r="C10" i="76"/>
  <c r="F7" i="76"/>
  <c r="AU52" i="48"/>
  <c r="AU51" i="48"/>
  <c r="C17" i="48"/>
  <c r="Q23" i="48"/>
  <c r="AF23" i="48"/>
  <c r="W41" i="48"/>
  <c r="N52" i="48"/>
  <c r="N51" i="48"/>
  <c r="AG75" i="48"/>
  <c r="G24" i="57"/>
  <c r="I20" i="66"/>
  <c r="I30" i="68"/>
  <c r="E42" i="75"/>
  <c r="D8" i="75"/>
  <c r="E32" i="76"/>
  <c r="E15" i="76"/>
  <c r="AI23" i="48"/>
  <c r="M94" i="48"/>
  <c r="H4" i="48"/>
  <c r="H3" i="48"/>
  <c r="BD4" i="48"/>
  <c r="AG22" i="48"/>
  <c r="AT23" i="48"/>
  <c r="AT22" i="48"/>
  <c r="L41" i="48"/>
  <c r="AJ41" i="48"/>
  <c r="K22" i="48"/>
  <c r="D94" i="48"/>
  <c r="AZ44" i="45"/>
  <c r="AZ43" i="45"/>
  <c r="E45" i="66"/>
  <c r="E29" i="76"/>
  <c r="C22" i="76"/>
  <c r="F42" i="68"/>
  <c r="E20" i="76"/>
  <c r="E11" i="76"/>
  <c r="BG14" i="48"/>
  <c r="BL14" i="48"/>
  <c r="BH42" i="48"/>
  <c r="D41" i="48"/>
  <c r="BH41" i="48"/>
  <c r="AF41" i="48"/>
  <c r="AF22" i="48"/>
  <c r="BD41" i="48"/>
  <c r="BJ63" i="48"/>
  <c r="AV67" i="48"/>
  <c r="AV66" i="48"/>
  <c r="G13" i="48"/>
  <c r="O13" i="48"/>
  <c r="W13" i="48"/>
  <c r="AE13" i="48"/>
  <c r="AM13" i="48"/>
  <c r="AM3" i="48"/>
  <c r="AU13" i="48"/>
  <c r="AZ41" i="48"/>
  <c r="AE52" i="48"/>
  <c r="AE51" i="48"/>
  <c r="BD94" i="48"/>
  <c r="BD67" i="48"/>
  <c r="BD66" i="48"/>
  <c r="AE75" i="48"/>
  <c r="AE67" i="48"/>
  <c r="AE66" i="48"/>
  <c r="L4" i="48"/>
  <c r="AR4" i="48"/>
  <c r="AF4" i="48"/>
  <c r="BI14" i="48"/>
  <c r="I13" i="48"/>
  <c r="E99" i="48"/>
  <c r="BI99" i="48"/>
  <c r="BI102" i="48"/>
  <c r="AV22" i="48"/>
  <c r="BJ7" i="48"/>
  <c r="AP11" i="45"/>
  <c r="F5" i="48"/>
  <c r="BJ5" i="48"/>
  <c r="T4" i="48"/>
  <c r="AJ4" i="48"/>
  <c r="P4" i="48"/>
  <c r="AV4" i="48"/>
  <c r="AK4" i="48"/>
  <c r="BG42" i="48"/>
  <c r="AL36" i="45"/>
  <c r="AL42" i="45"/>
  <c r="O23" i="48"/>
  <c r="AK41" i="48"/>
  <c r="U52" i="48"/>
  <c r="U51" i="48"/>
  <c r="AV52" i="48"/>
  <c r="AV51" i="48"/>
  <c r="AW67" i="48"/>
  <c r="AW66" i="48"/>
  <c r="AL90" i="45"/>
  <c r="AL92" i="45"/>
  <c r="AR61" i="45"/>
  <c r="K3" i="48"/>
  <c r="AA22" i="48"/>
  <c r="BD23" i="48"/>
  <c r="BD22" i="48"/>
  <c r="F41" i="48"/>
  <c r="V41" i="48"/>
  <c r="AD41" i="48"/>
  <c r="AL41" i="48"/>
  <c r="AL22" i="48"/>
  <c r="AT41" i="48"/>
  <c r="BB41" i="48"/>
  <c r="E41" i="48"/>
  <c r="U41" i="48"/>
  <c r="AE41" i="48"/>
  <c r="AU41" i="48"/>
  <c r="AU22" i="48"/>
  <c r="BC41" i="48"/>
  <c r="BC22" i="48"/>
  <c r="V52" i="48"/>
  <c r="V51" i="48"/>
  <c r="AW52" i="48"/>
  <c r="AW51" i="48"/>
  <c r="Y63" i="48"/>
  <c r="BI63" i="48"/>
  <c r="AL70" i="45"/>
  <c r="AG67" i="48"/>
  <c r="AG66" i="48"/>
  <c r="AP67" i="48"/>
  <c r="AP66" i="48"/>
  <c r="AX67" i="48"/>
  <c r="AX66" i="48"/>
  <c r="AR99" i="45"/>
  <c r="AS76" i="45"/>
  <c r="AP52" i="48"/>
  <c r="AP51" i="48"/>
  <c r="BG78" i="48"/>
  <c r="AD83" i="45"/>
  <c r="BJ83" i="45"/>
  <c r="BG80" i="48"/>
  <c r="AD85" i="45"/>
  <c r="BJ85" i="45"/>
  <c r="F83" i="48"/>
  <c r="M4" i="48"/>
  <c r="M3" i="48"/>
  <c r="BF23" i="48"/>
  <c r="BF22" i="48"/>
  <c r="Y67" i="48"/>
  <c r="Y66" i="48"/>
  <c r="AR67" i="48"/>
  <c r="AR66" i="48"/>
  <c r="K67" i="48"/>
  <c r="K66" i="48"/>
  <c r="BH81" i="48"/>
  <c r="AH86" i="45"/>
  <c r="C83" i="48"/>
  <c r="AR21" i="45"/>
  <c r="V4" i="48"/>
  <c r="U13" i="48"/>
  <c r="U3" i="48"/>
  <c r="AK13" i="48"/>
  <c r="Q13" i="48"/>
  <c r="AL23" i="45"/>
  <c r="D17" i="48"/>
  <c r="BH17" i="48"/>
  <c r="AD23" i="48"/>
  <c r="BB23" i="48"/>
  <c r="BB22" i="48"/>
  <c r="AL33" i="45"/>
  <c r="AL39" i="45"/>
  <c r="S23" i="48"/>
  <c r="AQ23" i="48"/>
  <c r="Y47" i="48"/>
  <c r="AJ52" i="48"/>
  <c r="AJ51" i="48"/>
  <c r="AZ52" i="48"/>
  <c r="AZ51" i="48"/>
  <c r="W67" i="48"/>
  <c r="W66" i="48"/>
  <c r="Z67" i="48"/>
  <c r="Z66" i="48"/>
  <c r="BI77" i="48"/>
  <c r="BI78" i="48"/>
  <c r="BI80" i="48"/>
  <c r="BI81" i="48"/>
  <c r="AR76" i="45"/>
  <c r="AS67" i="45"/>
  <c r="Z52" i="48"/>
  <c r="Z51" i="48"/>
  <c r="BG81" i="48"/>
  <c r="AD86" i="45"/>
  <c r="BJ86" i="45"/>
  <c r="BJ90" i="48"/>
  <c r="AP95" i="45"/>
  <c r="BJ93" i="48"/>
  <c r="AP98" i="45"/>
  <c r="T13" i="48"/>
  <c r="AR13" i="48"/>
  <c r="AY22" i="48"/>
  <c r="AS23" i="48"/>
  <c r="R23" i="48"/>
  <c r="AX23" i="48"/>
  <c r="D71" i="48"/>
  <c r="BH71" i="48"/>
  <c r="BH77" i="48"/>
  <c r="AH82" i="45"/>
  <c r="BH80" i="48"/>
  <c r="AH85" i="45"/>
  <c r="AY94" i="48"/>
  <c r="AY67" i="48"/>
  <c r="AY66" i="48"/>
  <c r="AP104" i="45"/>
  <c r="AR57" i="45"/>
  <c r="J23" i="48"/>
  <c r="AD4" i="48"/>
  <c r="BB4" i="48"/>
  <c r="Z4" i="48"/>
  <c r="AS13" i="48"/>
  <c r="W4" i="48"/>
  <c r="AM4" i="48"/>
  <c r="AA4" i="48"/>
  <c r="V13" i="48"/>
  <c r="V3" i="48"/>
  <c r="AD13" i="48"/>
  <c r="BB13" i="48"/>
  <c r="BB3" i="48"/>
  <c r="AP18" i="45"/>
  <c r="AE23" i="48"/>
  <c r="AE22" i="48"/>
  <c r="AM23" i="48"/>
  <c r="AM22" i="48"/>
  <c r="BC23" i="48"/>
  <c r="L23" i="48"/>
  <c r="J41" i="48"/>
  <c r="R41" i="48"/>
  <c r="AH41" i="48"/>
  <c r="AP41" i="48"/>
  <c r="AP22" i="48"/>
  <c r="BF41" i="48"/>
  <c r="I41" i="48"/>
  <c r="Q41" i="48"/>
  <c r="AI41" i="48"/>
  <c r="AI22" i="48"/>
  <c r="AQ41" i="48"/>
  <c r="L52" i="48"/>
  <c r="L51" i="48"/>
  <c r="AH67" i="45"/>
  <c r="S67" i="48"/>
  <c r="S66" i="48"/>
  <c r="BJ78" i="48"/>
  <c r="AP83" i="45"/>
  <c r="Q83" i="48"/>
  <c r="Q67" i="48"/>
  <c r="Q66" i="48"/>
  <c r="AR51" i="45"/>
  <c r="I57" i="48"/>
  <c r="H57" i="48"/>
  <c r="H52" i="48"/>
  <c r="H51" i="48"/>
  <c r="BG60" i="48"/>
  <c r="AD64" i="45"/>
  <c r="BJ64" i="45"/>
  <c r="G57" i="48"/>
  <c r="BG58" i="48"/>
  <c r="AD62" i="45"/>
  <c r="BJ62" i="45"/>
  <c r="BH58" i="48"/>
  <c r="AH62" i="45"/>
  <c r="AL62" i="45"/>
  <c r="BI58" i="48"/>
  <c r="E57" i="48"/>
  <c r="E52" i="48"/>
  <c r="E51" i="48"/>
  <c r="C57" i="48"/>
  <c r="C52" i="48"/>
  <c r="C51" i="48"/>
  <c r="D57" i="48"/>
  <c r="D52" i="48"/>
  <c r="I52" i="48"/>
  <c r="I51" i="48"/>
  <c r="BJ58" i="48"/>
  <c r="AP62" i="45"/>
  <c r="J57" i="48"/>
  <c r="J52" i="48"/>
  <c r="J51" i="48"/>
  <c r="BG40" i="48"/>
  <c r="BK40" i="48"/>
  <c r="AQ44" i="45"/>
  <c r="BI40" i="48"/>
  <c r="BJ40" i="48"/>
  <c r="AP44" i="45"/>
  <c r="AP43" i="45"/>
  <c r="E39" i="48"/>
  <c r="BI39" i="48"/>
  <c r="H23" i="48"/>
  <c r="H22" i="48"/>
  <c r="G23" i="48"/>
  <c r="G22" i="48"/>
  <c r="N23" i="48"/>
  <c r="V23" i="48"/>
  <c r="AH23" i="48"/>
  <c r="P23" i="48"/>
  <c r="P22" i="48"/>
  <c r="C39" i="48"/>
  <c r="C23" i="48"/>
  <c r="BH40" i="48"/>
  <c r="AH44" i="45"/>
  <c r="AH43" i="45"/>
  <c r="F39" i="48"/>
  <c r="F23" i="48"/>
  <c r="F22" i="48"/>
  <c r="I23" i="48"/>
  <c r="I22" i="48"/>
  <c r="AK27" i="45"/>
  <c r="AJ27" i="45"/>
  <c r="BE27" i="45"/>
  <c r="E68" i="73"/>
  <c r="E69" i="73"/>
  <c r="H69" i="73"/>
  <c r="H70" i="73"/>
  <c r="E74" i="73"/>
  <c r="H67" i="73"/>
  <c r="E45" i="73"/>
  <c r="D8" i="71"/>
  <c r="G122" i="70"/>
  <c r="D8" i="70"/>
  <c r="E27" i="76"/>
  <c r="G53" i="69"/>
  <c r="G57" i="69"/>
  <c r="D8" i="69"/>
  <c r="E26" i="76"/>
  <c r="E57" i="69"/>
  <c r="D8" i="66"/>
  <c r="G21" i="62"/>
  <c r="N31" i="59"/>
  <c r="M34" i="59"/>
  <c r="C16" i="76"/>
  <c r="M31" i="59"/>
  <c r="P31" i="59"/>
  <c r="P34" i="59"/>
  <c r="F16" i="76"/>
  <c r="O31" i="59"/>
  <c r="M45" i="59"/>
  <c r="N33" i="59"/>
  <c r="N34" i="59"/>
  <c r="D16" i="76"/>
  <c r="L16" i="76"/>
  <c r="I96" i="57"/>
  <c r="E96" i="57"/>
  <c r="C14" i="76"/>
  <c r="D9" i="57"/>
  <c r="G96" i="49"/>
  <c r="J98" i="49"/>
  <c r="I97" i="49"/>
  <c r="I98" i="49"/>
  <c r="H98" i="49"/>
  <c r="G98" i="49"/>
  <c r="J97" i="49"/>
  <c r="H97" i="49"/>
  <c r="G97" i="49"/>
  <c r="I96" i="49"/>
  <c r="J96" i="49"/>
  <c r="H96" i="49"/>
  <c r="AG17" i="45"/>
  <c r="AG7" i="45"/>
  <c r="BD8" i="45"/>
  <c r="AZ9" i="45"/>
  <c r="AK72" i="45"/>
  <c r="AK71" i="45"/>
  <c r="BD56" i="45"/>
  <c r="BD55" i="45"/>
  <c r="BC56" i="45"/>
  <c r="BC55" i="45"/>
  <c r="AJ56" i="45"/>
  <c r="AJ55" i="45"/>
  <c r="AK56" i="45"/>
  <c r="AK55" i="45"/>
  <c r="BE56" i="45"/>
  <c r="BE55" i="45"/>
  <c r="BE45" i="45"/>
  <c r="BE26" i="45"/>
  <c r="AG45" i="45"/>
  <c r="BD45" i="45"/>
  <c r="BD26" i="45"/>
  <c r="AF45" i="45"/>
  <c r="BC45" i="45"/>
  <c r="AF17" i="45"/>
  <c r="AZ13" i="45"/>
  <c r="AZ8" i="45"/>
  <c r="AK8" i="45"/>
  <c r="AK7" i="45"/>
  <c r="AJ8" i="45"/>
  <c r="BE8" i="45"/>
  <c r="BC8" i="45"/>
  <c r="BC94" i="48"/>
  <c r="BC67" i="48"/>
  <c r="BC66" i="48"/>
  <c r="AH52" i="48"/>
  <c r="AH51" i="48"/>
  <c r="BI54" i="48"/>
  <c r="AI3" i="48"/>
  <c r="AG3" i="48"/>
  <c r="AS4" i="48"/>
  <c r="AS3" i="48"/>
  <c r="AL89" i="45"/>
  <c r="AT3" i="48"/>
  <c r="AH3" i="48"/>
  <c r="AL14" i="45"/>
  <c r="BJ14" i="45"/>
  <c r="AP21" i="45"/>
  <c r="AP17" i="45"/>
  <c r="BJ30" i="45"/>
  <c r="BH54" i="48"/>
  <c r="AH58" i="45"/>
  <c r="E71" i="48"/>
  <c r="BI71" i="48"/>
  <c r="BI73" i="48"/>
  <c r="AH104" i="45"/>
  <c r="AL105" i="45"/>
  <c r="AW3" i="48"/>
  <c r="AC23" i="48"/>
  <c r="AO23" i="48"/>
  <c r="AO22" i="48"/>
  <c r="BA23" i="48"/>
  <c r="X23" i="48"/>
  <c r="AK52" i="48"/>
  <c r="AK51" i="48"/>
  <c r="AP67" i="45"/>
  <c r="E68" i="48"/>
  <c r="BI68" i="48"/>
  <c r="BI70" i="48"/>
  <c r="BA51" i="45"/>
  <c r="AG4" i="48"/>
  <c r="BH21" i="48"/>
  <c r="AH25" i="45"/>
  <c r="AL49" i="45"/>
  <c r="AL59" i="45"/>
  <c r="O83" i="48"/>
  <c r="O67" i="48"/>
  <c r="O66" i="48"/>
  <c r="AZ76" i="45"/>
  <c r="BE4" i="48"/>
  <c r="BE3" i="48"/>
  <c r="AA3" i="48"/>
  <c r="AP13" i="45"/>
  <c r="AJ23" i="48"/>
  <c r="AJ22" i="48"/>
  <c r="BH88" i="48"/>
  <c r="AH93" i="45"/>
  <c r="D83" i="48"/>
  <c r="BC3" i="48"/>
  <c r="N4" i="48"/>
  <c r="N3" i="48"/>
  <c r="AL4" i="48"/>
  <c r="AL3" i="48"/>
  <c r="AX4" i="48"/>
  <c r="AX3" i="48"/>
  <c r="BI9" i="48"/>
  <c r="AC3" i="48"/>
  <c r="BG9" i="48"/>
  <c r="BL9" i="48"/>
  <c r="R52" i="48"/>
  <c r="R51" i="48"/>
  <c r="AU67" i="48"/>
  <c r="AU66" i="48"/>
  <c r="W3" i="48"/>
  <c r="AL10" i="45"/>
  <c r="AX10" i="45"/>
  <c r="O4" i="48"/>
  <c r="O3" i="48"/>
  <c r="AY4" i="48"/>
  <c r="AY3" i="48"/>
  <c r="BH9" i="48"/>
  <c r="X13" i="48"/>
  <c r="AV13" i="48"/>
  <c r="AV3" i="48"/>
  <c r="AL52" i="45"/>
  <c r="AL65" i="45"/>
  <c r="C71" i="48"/>
  <c r="BG71" i="48"/>
  <c r="AF75" i="48"/>
  <c r="AF67" i="48"/>
  <c r="AF66" i="48"/>
  <c r="BH78" i="48"/>
  <c r="AH83" i="45"/>
  <c r="D75" i="48"/>
  <c r="BH75" i="48"/>
  <c r="P83" i="48"/>
  <c r="P67" i="48"/>
  <c r="P66" i="48"/>
  <c r="AL47" i="45"/>
  <c r="AH46" i="45"/>
  <c r="AL50" i="45"/>
  <c r="Y41" i="48"/>
  <c r="BB52" i="48"/>
  <c r="BB51" i="48"/>
  <c r="AL60" i="45"/>
  <c r="K52" i="48"/>
  <c r="K51" i="48"/>
  <c r="W57" i="48"/>
  <c r="W52" i="48"/>
  <c r="W51" i="48"/>
  <c r="AH76" i="45"/>
  <c r="AL106" i="45"/>
  <c r="AZ104" i="45"/>
  <c r="BA18" i="45"/>
  <c r="I4" i="48"/>
  <c r="I3" i="48"/>
  <c r="S3" i="48"/>
  <c r="X4" i="48"/>
  <c r="X3" i="48"/>
  <c r="J3" i="48"/>
  <c r="BD3" i="48"/>
  <c r="BF3" i="48"/>
  <c r="AP9" i="45"/>
  <c r="L13" i="48"/>
  <c r="L3" i="48"/>
  <c r="AJ13" i="48"/>
  <c r="AJ3" i="48"/>
  <c r="AJ103" i="48"/>
  <c r="AS22" i="48"/>
  <c r="BJ50" i="48"/>
  <c r="AP54" i="45"/>
  <c r="AP51" i="45"/>
  <c r="AP45" i="45"/>
  <c r="BH5" i="48"/>
  <c r="G3" i="48"/>
  <c r="AE3" i="48"/>
  <c r="Y3" i="48"/>
  <c r="AL19" i="45"/>
  <c r="AL31" i="45"/>
  <c r="AL34" i="45"/>
  <c r="AL37" i="45"/>
  <c r="AL40" i="45"/>
  <c r="BG5" i="48"/>
  <c r="Q4" i="48"/>
  <c r="Q3" i="48"/>
  <c r="AO4" i="48"/>
  <c r="AO3" i="48"/>
  <c r="AO103" i="48"/>
  <c r="BA4" i="48"/>
  <c r="BA3" i="48"/>
  <c r="E5" i="48"/>
  <c r="E4" i="48"/>
  <c r="AF3" i="48"/>
  <c r="B13" i="48"/>
  <c r="B3" i="48"/>
  <c r="Z3" i="48"/>
  <c r="U22" i="48"/>
  <c r="D23" i="48"/>
  <c r="AB23" i="48"/>
  <c r="AZ23" i="48"/>
  <c r="AZ22" i="48"/>
  <c r="C41" i="48"/>
  <c r="N41" i="48"/>
  <c r="N22" i="48"/>
  <c r="Z41" i="48"/>
  <c r="AJ67" i="48"/>
  <c r="AJ66" i="48"/>
  <c r="AL91" i="45"/>
  <c r="O22" i="48"/>
  <c r="AP76" i="45"/>
  <c r="BA13" i="45"/>
  <c r="AB41" i="48"/>
  <c r="BG47" i="48"/>
  <c r="AL53" i="45"/>
  <c r="AD52" i="48"/>
  <c r="AD51" i="48"/>
  <c r="AS52" i="48"/>
  <c r="AS51" i="48"/>
  <c r="BE52" i="48"/>
  <c r="BE51" i="48"/>
  <c r="AF52" i="48"/>
  <c r="AF51" i="48"/>
  <c r="AL63" i="45"/>
  <c r="AN67" i="48"/>
  <c r="AN66" i="48"/>
  <c r="BG72" i="48"/>
  <c r="AD77" i="45"/>
  <c r="BJ77" i="45"/>
  <c r="AQ4" i="48"/>
  <c r="AQ3" i="48"/>
  <c r="P13" i="48"/>
  <c r="P3" i="48"/>
  <c r="AB13" i="48"/>
  <c r="AB3" i="48"/>
  <c r="AN13" i="48"/>
  <c r="AN3" i="48"/>
  <c r="AN103" i="48"/>
  <c r="AZ13" i="48"/>
  <c r="AZ3" i="48"/>
  <c r="W24" i="48"/>
  <c r="W23" i="48"/>
  <c r="W22" i="48"/>
  <c r="AK23" i="48"/>
  <c r="AK22" i="48"/>
  <c r="AW23" i="48"/>
  <c r="AL29" i="45"/>
  <c r="AL38" i="45"/>
  <c r="BJ38" i="45"/>
  <c r="AU4" i="48"/>
  <c r="AL22" i="45"/>
  <c r="Y23" i="48"/>
  <c r="Y22" i="48"/>
  <c r="AL32" i="45"/>
  <c r="AL35" i="45"/>
  <c r="AL41" i="45"/>
  <c r="BI42" i="48"/>
  <c r="AC41" i="48"/>
  <c r="BA41" i="48"/>
  <c r="AL48" i="45"/>
  <c r="BF52" i="48"/>
  <c r="BF51" i="48"/>
  <c r="AG52" i="48"/>
  <c r="AG51" i="48"/>
  <c r="X63" i="48"/>
  <c r="BH63" i="48"/>
  <c r="AP73" i="45"/>
  <c r="AL94" i="45"/>
  <c r="BJ94" i="45"/>
  <c r="BA67" i="45"/>
  <c r="BJ54" i="48"/>
  <c r="AP58" i="45"/>
  <c r="AP57" i="45"/>
  <c r="BG63" i="48"/>
  <c r="N68" i="48"/>
  <c r="N67" i="48"/>
  <c r="N66" i="48"/>
  <c r="C75" i="48"/>
  <c r="BG75" i="48"/>
  <c r="BL75" i="48"/>
  <c r="E83" i="48"/>
  <c r="BI83" i="48"/>
  <c r="BG95" i="48"/>
  <c r="AD100" i="45"/>
  <c r="BJ100" i="45"/>
  <c r="AS99" i="45"/>
  <c r="AR73" i="45"/>
  <c r="BA73" i="45"/>
  <c r="AZ63" i="45"/>
  <c r="AZ61" i="45"/>
  <c r="AZ58" i="45"/>
  <c r="AZ57" i="45"/>
  <c r="BA50" i="45"/>
  <c r="BA46" i="45"/>
  <c r="BA45" i="45"/>
  <c r="T23" i="48"/>
  <c r="T22" i="48"/>
  <c r="AR23" i="48"/>
  <c r="AR22" i="48"/>
  <c r="X41" i="48"/>
  <c r="BG54" i="48"/>
  <c r="AD58" i="45"/>
  <c r="BJ58" i="45"/>
  <c r="AA67" i="48"/>
  <c r="AA66" i="48"/>
  <c r="BG70" i="48"/>
  <c r="E75" i="48"/>
  <c r="BI75" i="48"/>
  <c r="D99" i="48"/>
  <c r="BH99" i="48"/>
  <c r="AR18" i="45"/>
  <c r="AR17" i="45"/>
  <c r="AY89" i="45"/>
  <c r="AZ74" i="45"/>
  <c r="AZ73" i="45"/>
  <c r="BA44" i="45"/>
  <c r="BA43" i="45"/>
  <c r="BB8" i="45"/>
  <c r="BB27" i="45"/>
  <c r="BA52" i="48"/>
  <c r="BA51" i="48"/>
  <c r="AM67" i="48"/>
  <c r="AM66" i="48"/>
  <c r="AS104" i="45"/>
  <c r="AS73" i="45"/>
  <c r="AS28" i="45"/>
  <c r="AS27" i="45"/>
  <c r="BA101" i="45"/>
  <c r="BA99" i="45"/>
  <c r="BA61" i="45"/>
  <c r="AY14" i="45"/>
  <c r="BE17" i="45"/>
  <c r="BJ80" i="48"/>
  <c r="AP85" i="45"/>
  <c r="BH92" i="48"/>
  <c r="AH97" i="45"/>
  <c r="AL97" i="45"/>
  <c r="BJ95" i="48"/>
  <c r="AP100" i="45"/>
  <c r="F94" i="48"/>
  <c r="F99" i="48"/>
  <c r="BJ99" i="48"/>
  <c r="AF56" i="45"/>
  <c r="AF55" i="45"/>
  <c r="AS18" i="45"/>
  <c r="AD67" i="48"/>
  <c r="AD66" i="48"/>
  <c r="AQ67" i="48"/>
  <c r="AQ66" i="48"/>
  <c r="BG76" i="48"/>
  <c r="AD81" i="45"/>
  <c r="BJ81" i="45"/>
  <c r="BG79" i="48"/>
  <c r="AD84" i="45"/>
  <c r="BJ84" i="45"/>
  <c r="BG82" i="48"/>
  <c r="AD87" i="45"/>
  <c r="BJ87" i="45"/>
  <c r="H67" i="48"/>
  <c r="H66" i="48"/>
  <c r="BI92" i="48"/>
  <c r="BG96" i="48"/>
  <c r="AD101" i="45"/>
  <c r="BJ101" i="45"/>
  <c r="BG98" i="48"/>
  <c r="AD103" i="45"/>
  <c r="BJ103" i="45"/>
  <c r="AZ51" i="45"/>
  <c r="AZ19" i="45"/>
  <c r="AZ18" i="45"/>
  <c r="BC17" i="45"/>
  <c r="BK46" i="48"/>
  <c r="AQ50" i="45"/>
  <c r="AW41" i="48"/>
  <c r="BH50" i="48"/>
  <c r="AH54" i="45"/>
  <c r="AL54" i="45"/>
  <c r="AC52" i="48"/>
  <c r="AC51" i="48"/>
  <c r="AR52" i="48"/>
  <c r="AR51" i="48"/>
  <c r="F71" i="48"/>
  <c r="BJ71" i="48"/>
  <c r="BH76" i="48"/>
  <c r="AH81" i="45"/>
  <c r="BH79" i="48"/>
  <c r="AH84" i="45"/>
  <c r="BH82" i="48"/>
  <c r="AH87" i="45"/>
  <c r="BJ92" i="48"/>
  <c r="AP97" i="45"/>
  <c r="BH96" i="48"/>
  <c r="AH101" i="45"/>
  <c r="BH98" i="48"/>
  <c r="AH103" i="45"/>
  <c r="AI56" i="45"/>
  <c r="AI55" i="45"/>
  <c r="AJ72" i="45"/>
  <c r="AJ71" i="45"/>
  <c r="AR104" i="45"/>
  <c r="AR80" i="45"/>
  <c r="AS51" i="45"/>
  <c r="AS45" i="45"/>
  <c r="BA105" i="45"/>
  <c r="BA104" i="45"/>
  <c r="BA77" i="45"/>
  <c r="BA76" i="45"/>
  <c r="AY19" i="45"/>
  <c r="BB17" i="45"/>
  <c r="BI76" i="48"/>
  <c r="BI79" i="48"/>
  <c r="BI82" i="48"/>
  <c r="BG91" i="48"/>
  <c r="AD96" i="45"/>
  <c r="BJ96" i="45"/>
  <c r="C94" i="48"/>
  <c r="AI72" i="45"/>
  <c r="AI71" i="45"/>
  <c r="AR28" i="45"/>
  <c r="AR27" i="45"/>
  <c r="AS21" i="45"/>
  <c r="AZ100" i="45"/>
  <c r="AZ99" i="45"/>
  <c r="AZ82" i="45"/>
  <c r="AZ80" i="45"/>
  <c r="AZ70" i="45"/>
  <c r="AZ67" i="45"/>
  <c r="BA30" i="45"/>
  <c r="BA28" i="45"/>
  <c r="AX41" i="48"/>
  <c r="AT52" i="48"/>
  <c r="AT51" i="48"/>
  <c r="M67" i="48"/>
  <c r="M66" i="48"/>
  <c r="F75" i="48"/>
  <c r="AH75" i="48"/>
  <c r="AH67" i="48"/>
  <c r="AH66" i="48"/>
  <c r="BJ79" i="48"/>
  <c r="AP84" i="45"/>
  <c r="BH91" i="48"/>
  <c r="AH96" i="45"/>
  <c r="G94" i="48"/>
  <c r="G67" i="48"/>
  <c r="G66" i="48"/>
  <c r="AG56" i="45"/>
  <c r="AG55" i="45"/>
  <c r="AS80" i="45"/>
  <c r="AS57" i="45"/>
  <c r="AR46" i="45"/>
  <c r="AR45" i="45"/>
  <c r="AS9" i="45"/>
  <c r="AY105" i="45"/>
  <c r="AY77" i="45"/>
  <c r="AZ23" i="45"/>
  <c r="AZ21" i="45"/>
  <c r="BB56" i="45"/>
  <c r="BB55" i="45"/>
  <c r="AI52" i="48"/>
  <c r="AI51" i="48"/>
  <c r="AI67" i="48"/>
  <c r="AI66" i="48"/>
  <c r="AL102" i="45"/>
  <c r="AR88" i="45"/>
  <c r="BA81" i="45"/>
  <c r="BA80" i="45"/>
  <c r="AZ90" i="45"/>
  <c r="AZ88" i="45"/>
  <c r="BA21" i="45"/>
  <c r="BA9" i="45"/>
  <c r="BI98" i="48"/>
  <c r="AS88" i="45"/>
  <c r="AS61" i="45"/>
  <c r="AS13" i="45"/>
  <c r="AR9" i="45"/>
  <c r="AY81" i="45"/>
  <c r="AZ47" i="45"/>
  <c r="AZ46" i="45"/>
  <c r="AZ29" i="45"/>
  <c r="AZ28" i="45"/>
  <c r="AZ27" i="45"/>
  <c r="BJ98" i="48"/>
  <c r="AP103" i="45"/>
  <c r="AF8" i="45"/>
  <c r="AI27" i="45"/>
  <c r="AI26" i="45"/>
  <c r="AR13" i="45"/>
  <c r="BA89" i="45"/>
  <c r="BA88" i="45"/>
  <c r="BA68" i="45"/>
  <c r="BA58" i="45"/>
  <c r="BA57" i="45"/>
  <c r="AY52" i="45"/>
  <c r="AY22" i="45"/>
  <c r="BB45" i="45"/>
  <c r="BC26" i="45"/>
  <c r="BD7" i="45"/>
  <c r="AR56" i="45"/>
  <c r="AR55" i="45"/>
  <c r="AJ26" i="45"/>
  <c r="AK26" i="45"/>
  <c r="AJ17" i="45"/>
  <c r="AI17" i="45"/>
  <c r="AI8" i="45"/>
  <c r="AG72" i="45"/>
  <c r="AG71" i="45"/>
  <c r="AF72" i="45"/>
  <c r="AF71" i="45"/>
  <c r="AE72" i="45"/>
  <c r="AE71" i="45"/>
  <c r="AE56" i="45"/>
  <c r="AE55" i="45"/>
  <c r="AE45" i="45"/>
  <c r="AE17" i="45"/>
  <c r="AE7" i="45"/>
  <c r="BL5" i="48"/>
  <c r="BK5" i="48"/>
  <c r="BK47" i="48"/>
  <c r="D4" i="48"/>
  <c r="BH47" i="48"/>
  <c r="BH53" i="48"/>
  <c r="X57" i="48"/>
  <c r="BH60" i="48"/>
  <c r="AH64" i="45"/>
  <c r="BK8" i="48"/>
  <c r="AQ12" i="45"/>
  <c r="BG11" i="48"/>
  <c r="BJ14" i="48"/>
  <c r="BK16" i="48"/>
  <c r="AQ20" i="45"/>
  <c r="AY20" i="45"/>
  <c r="BG17" i="48"/>
  <c r="C13" i="48"/>
  <c r="Q22" i="48"/>
  <c r="BK38" i="48"/>
  <c r="AQ42" i="45"/>
  <c r="AY42" i="45"/>
  <c r="AY28" i="45"/>
  <c r="B24" i="48"/>
  <c r="B23" i="48"/>
  <c r="BJ26" i="48"/>
  <c r="AP30" i="45"/>
  <c r="AP28" i="45"/>
  <c r="Z24" i="48"/>
  <c r="Z23" i="48"/>
  <c r="BI47" i="48"/>
  <c r="C4" i="48"/>
  <c r="F4" i="48"/>
  <c r="BH7" i="48"/>
  <c r="AH11" i="45"/>
  <c r="AL11" i="45"/>
  <c r="BH11" i="48"/>
  <c r="AH15" i="45"/>
  <c r="AH22" i="48"/>
  <c r="BJ47" i="48"/>
  <c r="BI7" i="48"/>
  <c r="BI20" i="48"/>
  <c r="E17" i="48"/>
  <c r="BI17" i="48"/>
  <c r="BL42" i="48"/>
  <c r="BK42" i="48"/>
  <c r="BK50" i="48"/>
  <c r="AQ54" i="45"/>
  <c r="AY54" i="45"/>
  <c r="B47" i="48"/>
  <c r="BL47" i="48"/>
  <c r="BH24" i="48"/>
  <c r="BH39" i="48"/>
  <c r="BH70" i="48"/>
  <c r="AH75" i="45"/>
  <c r="AH73" i="45"/>
  <c r="L68" i="48"/>
  <c r="BL63" i="48"/>
  <c r="BK63" i="48"/>
  <c r="BH14" i="48"/>
  <c r="M52" i="48"/>
  <c r="M51" i="48"/>
  <c r="BI53" i="48"/>
  <c r="Y57" i="48"/>
  <c r="BI60" i="48"/>
  <c r="BK71" i="48"/>
  <c r="BJ76" i="48"/>
  <c r="AP81" i="45"/>
  <c r="R83" i="48"/>
  <c r="R67" i="48"/>
  <c r="R66" i="48"/>
  <c r="I94" i="48"/>
  <c r="I67" i="48"/>
  <c r="I66" i="48"/>
  <c r="U94" i="48"/>
  <c r="U67" i="48"/>
  <c r="U66" i="48"/>
  <c r="BA94" i="48"/>
  <c r="BA67" i="48"/>
  <c r="BA66" i="48"/>
  <c r="F17" i="48"/>
  <c r="BG20" i="48"/>
  <c r="BH26" i="48"/>
  <c r="AH30" i="45"/>
  <c r="AL30" i="45"/>
  <c r="F53" i="48"/>
  <c r="BK102" i="48"/>
  <c r="AQ107" i="45"/>
  <c r="AY107" i="45"/>
  <c r="G53" i="48"/>
  <c r="BG53" i="48"/>
  <c r="BI24" i="48"/>
  <c r="BJ42" i="48"/>
  <c r="BG68" i="48"/>
  <c r="BJ77" i="48"/>
  <c r="AP82" i="45"/>
  <c r="BJ88" i="48"/>
  <c r="AP93" i="45"/>
  <c r="BI95" i="48"/>
  <c r="E94" i="48"/>
  <c r="BI96" i="48"/>
  <c r="BE94" i="48"/>
  <c r="BE67" i="48"/>
  <c r="BE66" i="48"/>
  <c r="AK67" i="48"/>
  <c r="AK66" i="48"/>
  <c r="AS67" i="48"/>
  <c r="AS66" i="48"/>
  <c r="BJ91" i="48"/>
  <c r="AP96" i="45"/>
  <c r="BK56" i="48"/>
  <c r="AQ60" i="45"/>
  <c r="AY60" i="45"/>
  <c r="AY57" i="45"/>
  <c r="BK65" i="48"/>
  <c r="AQ70" i="45"/>
  <c r="AY70" i="45"/>
  <c r="AY67" i="45"/>
  <c r="AC67" i="48"/>
  <c r="AC66" i="48"/>
  <c r="AL67" i="48"/>
  <c r="AL66" i="48"/>
  <c r="AT67" i="48"/>
  <c r="AT66" i="48"/>
  <c r="BJ81" i="48"/>
  <c r="AP86" i="45"/>
  <c r="BG77" i="48"/>
  <c r="BG88" i="48"/>
  <c r="B94" i="48"/>
  <c r="J94" i="48"/>
  <c r="J67" i="48"/>
  <c r="J66" i="48"/>
  <c r="BF94" i="48"/>
  <c r="BF67" i="48"/>
  <c r="BF66" i="48"/>
  <c r="BI88" i="48"/>
  <c r="BH95" i="48"/>
  <c r="B71" i="48"/>
  <c r="L94" i="48"/>
  <c r="T94" i="48"/>
  <c r="T67" i="48"/>
  <c r="T66" i="48"/>
  <c r="AB94" i="48"/>
  <c r="AB67" i="48"/>
  <c r="AB66" i="48"/>
  <c r="AZ94" i="48"/>
  <c r="AZ67" i="48"/>
  <c r="AZ66" i="48"/>
  <c r="C99" i="48"/>
  <c r="BJ96" i="48"/>
  <c r="AP101" i="45"/>
  <c r="B53" i="48"/>
  <c r="B52" i="48"/>
  <c r="B51" i="48"/>
  <c r="BJ60" i="48"/>
  <c r="AP64" i="45"/>
  <c r="V94" i="48"/>
  <c r="V67" i="48"/>
  <c r="V66" i="48"/>
  <c r="BB94" i="48"/>
  <c r="BB67" i="48"/>
  <c r="BB66" i="48"/>
  <c r="L22" i="48"/>
  <c r="T3" i="48"/>
  <c r="T103" i="48"/>
  <c r="AY104" i="45"/>
  <c r="BI41" i="48"/>
  <c r="AD3" i="48"/>
  <c r="AS103" i="48"/>
  <c r="Y52" i="48"/>
  <c r="Y51" i="48"/>
  <c r="BI51" i="48"/>
  <c r="BG83" i="48"/>
  <c r="BL83" i="48"/>
  <c r="D13" i="48"/>
  <c r="D3" i="48"/>
  <c r="K103" i="48"/>
  <c r="AP103" i="48"/>
  <c r="Z22" i="48"/>
  <c r="Z103" i="48"/>
  <c r="AU3" i="48"/>
  <c r="AL95" i="45"/>
  <c r="AR3" i="48"/>
  <c r="AH9" i="45"/>
  <c r="D67" i="48"/>
  <c r="D66" i="48"/>
  <c r="AL96" i="45"/>
  <c r="R22" i="48"/>
  <c r="R103" i="48"/>
  <c r="S22" i="48"/>
  <c r="S103" i="48"/>
  <c r="AZ45" i="45"/>
  <c r="AZ26" i="45"/>
  <c r="BE103" i="48"/>
  <c r="BD103" i="48"/>
  <c r="BK14" i="48"/>
  <c r="AV103" i="48"/>
  <c r="AP80" i="45"/>
  <c r="J22" i="48"/>
  <c r="BI5" i="48"/>
  <c r="BC103" i="48"/>
  <c r="BG41" i="48"/>
  <c r="BH83" i="48"/>
  <c r="AI103" i="48"/>
  <c r="AW22" i="48"/>
  <c r="AW103" i="48"/>
  <c r="AE103" i="48"/>
  <c r="BA17" i="45"/>
  <c r="AD22" i="48"/>
  <c r="AK3" i="48"/>
  <c r="AL103" i="48"/>
  <c r="P103" i="48"/>
  <c r="B41" i="48"/>
  <c r="AL64" i="45"/>
  <c r="BF103" i="48"/>
  <c r="BJ83" i="48"/>
  <c r="Q103" i="48"/>
  <c r="V22" i="48"/>
  <c r="V103" i="48"/>
  <c r="AU103" i="48"/>
  <c r="BG13" i="48"/>
  <c r="BB103" i="48"/>
  <c r="AX22" i="48"/>
  <c r="BK94" i="48"/>
  <c r="AP88" i="45"/>
  <c r="BG94" i="48"/>
  <c r="BL94" i="48"/>
  <c r="AQ22" i="48"/>
  <c r="G52" i="48"/>
  <c r="G51" i="48"/>
  <c r="G103" i="48"/>
  <c r="BK62" i="48"/>
  <c r="AQ66" i="45"/>
  <c r="AY66" i="45"/>
  <c r="AY61" i="45"/>
  <c r="AY56" i="45"/>
  <c r="AY55" i="45"/>
  <c r="BG57" i="48"/>
  <c r="BK57" i="48"/>
  <c r="AD44" i="45"/>
  <c r="BJ44" i="45"/>
  <c r="BJ39" i="48"/>
  <c r="AP61" i="45"/>
  <c r="AP56" i="45"/>
  <c r="AP55" i="45"/>
  <c r="I103" i="48"/>
  <c r="H103" i="48"/>
  <c r="E23" i="48"/>
  <c r="E22" i="48"/>
  <c r="J103" i="48"/>
  <c r="BJ57" i="48"/>
  <c r="BG39" i="48"/>
  <c r="BL39" i="48"/>
  <c r="AP27" i="45"/>
  <c r="AP26" i="45"/>
  <c r="AM103" i="48"/>
  <c r="U103" i="48"/>
  <c r="BH23" i="48"/>
  <c r="H45" i="73"/>
  <c r="E46" i="73"/>
  <c r="E47" i="73"/>
  <c r="H47" i="73"/>
  <c r="H48" i="73"/>
  <c r="E73" i="73"/>
  <c r="E75" i="73"/>
  <c r="E80" i="73"/>
  <c r="F81" i="73"/>
  <c r="D8" i="73"/>
  <c r="E30" i="76"/>
  <c r="P32" i="59"/>
  <c r="M32" i="59"/>
  <c r="N32" i="59"/>
  <c r="O32" i="59"/>
  <c r="J99" i="49"/>
  <c r="I99" i="49"/>
  <c r="E6" i="76"/>
  <c r="H99" i="49"/>
  <c r="D6" i="76"/>
  <c r="L6" i="76"/>
  <c r="BC7" i="45"/>
  <c r="AF7" i="45"/>
  <c r="AJ7" i="45"/>
  <c r="AJ108" i="45"/>
  <c r="BA8" i="45"/>
  <c r="BE7" i="45"/>
  <c r="AR8" i="45"/>
  <c r="AR7" i="45"/>
  <c r="AS72" i="45"/>
  <c r="AS71" i="45"/>
  <c r="AZ72" i="45"/>
  <c r="AZ71" i="45"/>
  <c r="BA72" i="45"/>
  <c r="BA71" i="45"/>
  <c r="AZ56" i="45"/>
  <c r="AZ55" i="45"/>
  <c r="BA56" i="45"/>
  <c r="BA55" i="45"/>
  <c r="AR26" i="45"/>
  <c r="BB26" i="45"/>
  <c r="BB7" i="45"/>
  <c r="AS8" i="45"/>
  <c r="AQ104" i="45"/>
  <c r="BH94" i="48"/>
  <c r="BA27" i="45"/>
  <c r="BA26" i="45"/>
  <c r="AZ17" i="45"/>
  <c r="AZ7" i="45"/>
  <c r="AH28" i="45"/>
  <c r="AH27" i="45"/>
  <c r="AG103" i="48"/>
  <c r="BK21" i="48"/>
  <c r="AQ25" i="45"/>
  <c r="AD24" i="45"/>
  <c r="AY103" i="48"/>
  <c r="AD103" i="48"/>
  <c r="BJ75" i="48"/>
  <c r="AQ28" i="45"/>
  <c r="AH100" i="45"/>
  <c r="AS56" i="45"/>
  <c r="AS55" i="45"/>
  <c r="BK98" i="48"/>
  <c r="AQ103" i="45"/>
  <c r="F67" i="48"/>
  <c r="F66" i="48"/>
  <c r="BJ66" i="48"/>
  <c r="AH103" i="48"/>
  <c r="AQ57" i="45"/>
  <c r="AY18" i="45"/>
  <c r="AR72" i="45"/>
  <c r="AR71" i="45"/>
  <c r="BG23" i="48"/>
  <c r="C22" i="48"/>
  <c r="O103" i="48"/>
  <c r="AQ43" i="45"/>
  <c r="AY44" i="45"/>
  <c r="AY43" i="45"/>
  <c r="AY27" i="45"/>
  <c r="AX103" i="48"/>
  <c r="AH88" i="45"/>
  <c r="X22" i="48"/>
  <c r="AL58" i="45"/>
  <c r="AH57" i="45"/>
  <c r="AZ103" i="48"/>
  <c r="AI7" i="45"/>
  <c r="AI108" i="45"/>
  <c r="AY51" i="45"/>
  <c r="AS17" i="45"/>
  <c r="N103" i="48"/>
  <c r="BA22" i="48"/>
  <c r="BA103" i="48"/>
  <c r="W103" i="48"/>
  <c r="AA103" i="48"/>
  <c r="B67" i="48"/>
  <c r="B66" i="48"/>
  <c r="BK75" i="48"/>
  <c r="AD82" i="45"/>
  <c r="BJ82" i="45"/>
  <c r="BI94" i="48"/>
  <c r="AK108" i="45"/>
  <c r="AQ67" i="45"/>
  <c r="AQ51" i="45"/>
  <c r="AQ18" i="45"/>
  <c r="AH61" i="45"/>
  <c r="BK74" i="48"/>
  <c r="AQ79" i="45"/>
  <c r="AC22" i="48"/>
  <c r="AC103" i="48"/>
  <c r="BG24" i="48"/>
  <c r="AH80" i="45"/>
  <c r="AF103" i="48"/>
  <c r="BK93" i="48"/>
  <c r="AQ98" i="45"/>
  <c r="AD93" i="45"/>
  <c r="BJ93" i="45"/>
  <c r="D22" i="48"/>
  <c r="BH13" i="48"/>
  <c r="AH51" i="45"/>
  <c r="AH45" i="45"/>
  <c r="AR103" i="48"/>
  <c r="BJ68" i="48"/>
  <c r="AT103" i="48"/>
  <c r="BK12" i="48"/>
  <c r="AQ16" i="45"/>
  <c r="AD15" i="45"/>
  <c r="BJ15" i="45"/>
  <c r="BJ41" i="48"/>
  <c r="AQ46" i="45"/>
  <c r="AY50" i="45"/>
  <c r="AY46" i="45"/>
  <c r="AP99" i="45"/>
  <c r="AP72" i="45"/>
  <c r="AP71" i="45"/>
  <c r="AQ103" i="48"/>
  <c r="AK103" i="48"/>
  <c r="AQ9" i="45"/>
  <c r="AY12" i="45"/>
  <c r="AY9" i="45"/>
  <c r="AL101" i="45"/>
  <c r="BK70" i="48"/>
  <c r="AQ75" i="45"/>
  <c r="AD75" i="45"/>
  <c r="BJ75" i="45"/>
  <c r="AB22" i="48"/>
  <c r="AB103" i="48"/>
  <c r="AP8" i="45"/>
  <c r="AP7" i="45"/>
  <c r="AS26" i="45"/>
  <c r="BG99" i="48"/>
  <c r="C67" i="48"/>
  <c r="BI57" i="48"/>
  <c r="B22" i="48"/>
  <c r="X52" i="48"/>
  <c r="X51" i="48"/>
  <c r="BH57" i="48"/>
  <c r="BH4" i="48"/>
  <c r="E13" i="48"/>
  <c r="BI13" i="48"/>
  <c r="BJ94" i="48"/>
  <c r="BL68" i="48"/>
  <c r="BK68" i="48"/>
  <c r="BI52" i="48"/>
  <c r="BJ4" i="48"/>
  <c r="BJ17" i="48"/>
  <c r="F13" i="48"/>
  <c r="BJ13" i="48"/>
  <c r="BK82" i="48"/>
  <c r="AQ87" i="45"/>
  <c r="C3" i="48"/>
  <c r="BG4" i="48"/>
  <c r="M103" i="48"/>
  <c r="BJ23" i="48"/>
  <c r="E67" i="48"/>
  <c r="BI4" i="48"/>
  <c r="BK9" i="48"/>
  <c r="BL53" i="48"/>
  <c r="BK53" i="48"/>
  <c r="L67" i="48"/>
  <c r="BH68" i="48"/>
  <c r="F52" i="48"/>
  <c r="BJ53" i="48"/>
  <c r="D51" i="48"/>
  <c r="BL71" i="48"/>
  <c r="BJ24" i="48"/>
  <c r="BL17" i="48"/>
  <c r="BK17" i="48"/>
  <c r="AQ45" i="45"/>
  <c r="BJ22" i="48"/>
  <c r="BA7" i="45"/>
  <c r="Y103" i="48"/>
  <c r="BK83" i="48"/>
  <c r="X103" i="48"/>
  <c r="B103" i="48"/>
  <c r="BG22" i="48"/>
  <c r="BG52" i="48"/>
  <c r="E3" i="48"/>
  <c r="BI3" i="48"/>
  <c r="BG51" i="48"/>
  <c r="AQ61" i="45"/>
  <c r="AQ56" i="45"/>
  <c r="AQ55" i="45"/>
  <c r="BL57" i="48"/>
  <c r="BI23" i="48"/>
  <c r="BK39" i="48"/>
  <c r="BI22" i="48"/>
  <c r="D8" i="49"/>
  <c r="F6" i="76"/>
  <c r="G99" i="49"/>
  <c r="C6" i="76"/>
  <c r="AH56" i="45"/>
  <c r="AH55" i="45"/>
  <c r="BA108" i="45"/>
  <c r="AR108" i="45"/>
  <c r="AZ108" i="45"/>
  <c r="AS7" i="45"/>
  <c r="AS108" i="45"/>
  <c r="AY98" i="45"/>
  <c r="AY88" i="45"/>
  <c r="AQ88" i="45"/>
  <c r="BH52" i="48"/>
  <c r="BL24" i="48"/>
  <c r="BK24" i="48"/>
  <c r="AY16" i="45"/>
  <c r="AY13" i="45"/>
  <c r="AY8" i="45"/>
  <c r="AQ13" i="45"/>
  <c r="AQ8" i="45"/>
  <c r="BJ67" i="48"/>
  <c r="BH51" i="48"/>
  <c r="AY25" i="45"/>
  <c r="AY21" i="45"/>
  <c r="AY17" i="45"/>
  <c r="AQ21" i="45"/>
  <c r="AQ17" i="45"/>
  <c r="AL100" i="45"/>
  <c r="AH99" i="45"/>
  <c r="AH72" i="45"/>
  <c r="AH71" i="45"/>
  <c r="AY79" i="45"/>
  <c r="AY76" i="45"/>
  <c r="AQ76" i="45"/>
  <c r="AQ27" i="45"/>
  <c r="AQ26" i="45"/>
  <c r="AL93" i="45"/>
  <c r="AY75" i="45"/>
  <c r="AY73" i="45"/>
  <c r="AQ73" i="45"/>
  <c r="AH26" i="45"/>
  <c r="BJ24" i="45"/>
  <c r="AL24" i="45"/>
  <c r="AY87" i="45"/>
  <c r="AY80" i="45"/>
  <c r="AQ80" i="45"/>
  <c r="AL15" i="45"/>
  <c r="AY103" i="45"/>
  <c r="AY99" i="45"/>
  <c r="AQ99" i="45"/>
  <c r="AY45" i="45"/>
  <c r="AY26" i="45"/>
  <c r="BH22" i="48"/>
  <c r="BG3" i="48"/>
  <c r="BJ52" i="48"/>
  <c r="F51" i="48"/>
  <c r="BJ51" i="48"/>
  <c r="BI67" i="48"/>
  <c r="E66" i="48"/>
  <c r="BI66" i="48"/>
  <c r="L66" i="48"/>
  <c r="BH67" i="48"/>
  <c r="F3" i="48"/>
  <c r="C66" i="48"/>
  <c r="BG66" i="48"/>
  <c r="BG67" i="48"/>
  <c r="D103" i="48"/>
  <c r="BH3" i="48"/>
  <c r="BL99" i="48"/>
  <c r="BK99" i="48"/>
  <c r="AQ72" i="45"/>
  <c r="AQ71" i="45"/>
  <c r="AY72" i="45"/>
  <c r="AY71" i="45"/>
  <c r="AY7" i="45"/>
  <c r="AY108" i="45"/>
  <c r="AQ7" i="45"/>
  <c r="AQ108" i="45"/>
  <c r="F103" i="48"/>
  <c r="BJ3" i="48"/>
  <c r="C103" i="48"/>
  <c r="L103" i="48"/>
  <c r="BH66" i="48"/>
  <c r="E103" i="48"/>
  <c r="BJ103" i="48"/>
  <c r="BI103" i="48"/>
  <c r="BH103" i="48"/>
  <c r="BG103" i="48"/>
  <c r="BK103" i="48"/>
  <c r="AX106" i="45"/>
  <c r="AX107" i="45"/>
  <c r="AX105" i="45"/>
  <c r="AX101" i="45"/>
  <c r="AX102" i="45"/>
  <c r="AX103" i="45"/>
  <c r="AX100" i="45"/>
  <c r="AX90" i="45"/>
  <c r="AX91" i="45"/>
  <c r="AX92" i="45"/>
  <c r="AX93" i="45"/>
  <c r="AX94" i="45"/>
  <c r="AX95" i="45"/>
  <c r="AX96" i="45"/>
  <c r="AX97" i="45"/>
  <c r="AX98" i="45"/>
  <c r="AX89" i="45"/>
  <c r="AX82" i="45"/>
  <c r="AX83" i="45"/>
  <c r="AX84" i="45"/>
  <c r="AX85" i="45"/>
  <c r="AX86" i="45"/>
  <c r="AX87" i="45"/>
  <c r="AX81" i="45"/>
  <c r="AX79" i="45"/>
  <c r="AX78" i="45"/>
  <c r="AX77" i="45"/>
  <c r="AX75" i="45"/>
  <c r="AX74" i="45"/>
  <c r="AX70" i="45"/>
  <c r="AX69" i="45"/>
  <c r="AX68" i="45"/>
  <c r="AX66" i="45"/>
  <c r="AX65" i="45"/>
  <c r="AX64" i="45"/>
  <c r="AX63" i="45"/>
  <c r="AX62" i="45"/>
  <c r="AX60" i="45"/>
  <c r="AX59" i="45"/>
  <c r="AX58" i="45"/>
  <c r="AX54" i="45"/>
  <c r="AX53" i="45"/>
  <c r="AX52" i="45"/>
  <c r="AX51" i="45"/>
  <c r="AX44" i="45"/>
  <c r="AX50" i="45"/>
  <c r="AX49" i="45"/>
  <c r="AX48" i="45"/>
  <c r="AX47" i="45"/>
  <c r="AX33" i="45"/>
  <c r="AX34" i="45"/>
  <c r="AX35" i="45"/>
  <c r="AX36" i="45"/>
  <c r="AX37" i="45"/>
  <c r="AX38" i="45"/>
  <c r="AX39" i="45"/>
  <c r="AX40" i="45"/>
  <c r="AX41" i="45"/>
  <c r="AX42" i="45"/>
  <c r="AX32" i="45"/>
  <c r="AX31" i="45"/>
  <c r="AX30" i="45"/>
  <c r="AX29" i="45"/>
  <c r="AX25" i="45"/>
  <c r="AX24" i="45"/>
  <c r="AX23" i="45"/>
  <c r="AX22" i="45"/>
  <c r="AX20" i="45"/>
  <c r="AX19" i="45"/>
  <c r="AX16" i="45"/>
  <c r="AX15" i="45"/>
  <c r="AX14" i="45"/>
  <c r="AX11" i="45"/>
  <c r="AX12" i="45"/>
  <c r="AT10" i="45"/>
  <c r="AH21" i="45"/>
  <c r="AH18" i="45"/>
  <c r="AH13" i="45"/>
  <c r="AH8" i="45"/>
  <c r="AT103" i="45"/>
  <c r="AT98" i="45"/>
  <c r="AT92" i="45"/>
  <c r="AT93" i="45"/>
  <c r="AT83" i="45"/>
  <c r="AT84" i="45"/>
  <c r="AT87" i="45"/>
  <c r="AD67" i="45"/>
  <c r="BJ67" i="45"/>
  <c r="AT66" i="45"/>
  <c r="AT41" i="45"/>
  <c r="AT11" i="45"/>
  <c r="AT12" i="45"/>
  <c r="BM107" i="45"/>
  <c r="BK107" i="45"/>
  <c r="AW107" i="45"/>
  <c r="BI107" i="45"/>
  <c r="AV107" i="45"/>
  <c r="BH107" i="45"/>
  <c r="AU107" i="45"/>
  <c r="BG107" i="45"/>
  <c r="AT107" i="45"/>
  <c r="AO107" i="45"/>
  <c r="AN107" i="45"/>
  <c r="AM107" i="45"/>
  <c r="AL107" i="45"/>
  <c r="BM106" i="45"/>
  <c r="BK106" i="45"/>
  <c r="AW106" i="45"/>
  <c r="BI106" i="45"/>
  <c r="AV106" i="45"/>
  <c r="BH106" i="45"/>
  <c r="AU106" i="45"/>
  <c r="BG106" i="45"/>
  <c r="AT106" i="45"/>
  <c r="BF106" i="45"/>
  <c r="AO106" i="45"/>
  <c r="AN106" i="45"/>
  <c r="AM106" i="45"/>
  <c r="BM105" i="45"/>
  <c r="BK105" i="45"/>
  <c r="AW105" i="45"/>
  <c r="AV105" i="45"/>
  <c r="AU105" i="45"/>
  <c r="AO105" i="45"/>
  <c r="AN105" i="45"/>
  <c r="AM105" i="45"/>
  <c r="BM103" i="45"/>
  <c r="BK103" i="45"/>
  <c r="AW103" i="45"/>
  <c r="BI103" i="45"/>
  <c r="AV103" i="45"/>
  <c r="BH103" i="45"/>
  <c r="AU103" i="45"/>
  <c r="BG103" i="45"/>
  <c r="AO103" i="45"/>
  <c r="AN103" i="45"/>
  <c r="AM103" i="45"/>
  <c r="BM102" i="45"/>
  <c r="BK102" i="45"/>
  <c r="AW102" i="45"/>
  <c r="BI102" i="45"/>
  <c r="AV102" i="45"/>
  <c r="BH102" i="45"/>
  <c r="AU102" i="45"/>
  <c r="BG102" i="45"/>
  <c r="AT102" i="45"/>
  <c r="AO102" i="45"/>
  <c r="AN102" i="45"/>
  <c r="AM102" i="45"/>
  <c r="BM101" i="45"/>
  <c r="BK101" i="45"/>
  <c r="AW101" i="45"/>
  <c r="BI101" i="45"/>
  <c r="AV101" i="45"/>
  <c r="BH101" i="45"/>
  <c r="AU101" i="45"/>
  <c r="BG101" i="45"/>
  <c r="AT101" i="45"/>
  <c r="AO101" i="45"/>
  <c r="AN101" i="45"/>
  <c r="AM101" i="45"/>
  <c r="BM100" i="45"/>
  <c r="BK100" i="45"/>
  <c r="AW100" i="45"/>
  <c r="AV100" i="45"/>
  <c r="AU100" i="45"/>
  <c r="AO100" i="45"/>
  <c r="AN100" i="45"/>
  <c r="AM100" i="45"/>
  <c r="AW88" i="45"/>
  <c r="AM96" i="45"/>
  <c r="AN96" i="45"/>
  <c r="AO96" i="45"/>
  <c r="AU96" i="45"/>
  <c r="BG96" i="45"/>
  <c r="AV96" i="45"/>
  <c r="BH96" i="45"/>
  <c r="AW96" i="45"/>
  <c r="BI96" i="45"/>
  <c r="BK96" i="45"/>
  <c r="BM96" i="45"/>
  <c r="AM97" i="45"/>
  <c r="AN97" i="45"/>
  <c r="AO97" i="45"/>
  <c r="AU97" i="45"/>
  <c r="BG97" i="45"/>
  <c r="AV97" i="45"/>
  <c r="BH97" i="45"/>
  <c r="AW97" i="45"/>
  <c r="BI97" i="45"/>
  <c r="BK97" i="45"/>
  <c r="BM97" i="45"/>
  <c r="AL98" i="45"/>
  <c r="AM98" i="45"/>
  <c r="AN98" i="45"/>
  <c r="AO98" i="45"/>
  <c r="AU98" i="45"/>
  <c r="BG98" i="45"/>
  <c r="AV98" i="45"/>
  <c r="BH98" i="45"/>
  <c r="AW98" i="45"/>
  <c r="BI98" i="45"/>
  <c r="BK98" i="45"/>
  <c r="BM98" i="45"/>
  <c r="BM95" i="45"/>
  <c r="BK95" i="45"/>
  <c r="AW95" i="45"/>
  <c r="BI95" i="45"/>
  <c r="AV95" i="45"/>
  <c r="BH95" i="45"/>
  <c r="AU95" i="45"/>
  <c r="BG95" i="45"/>
  <c r="AT95" i="45"/>
  <c r="AO95" i="45"/>
  <c r="AN95" i="45"/>
  <c r="AM95" i="45"/>
  <c r="BM94" i="45"/>
  <c r="BK94" i="45"/>
  <c r="AW94" i="45"/>
  <c r="BI94" i="45"/>
  <c r="AV94" i="45"/>
  <c r="BH94" i="45"/>
  <c r="AU94" i="45"/>
  <c r="BG94" i="45"/>
  <c r="AT94" i="45"/>
  <c r="AO94" i="45"/>
  <c r="AN94" i="45"/>
  <c r="AM94" i="45"/>
  <c r="BM93" i="45"/>
  <c r="BK93" i="45"/>
  <c r="AW93" i="45"/>
  <c r="BI93" i="45"/>
  <c r="AV93" i="45"/>
  <c r="BH93" i="45"/>
  <c r="AU93" i="45"/>
  <c r="BG93" i="45"/>
  <c r="AO93" i="45"/>
  <c r="AN93" i="45"/>
  <c r="AM93" i="45"/>
  <c r="BM92" i="45"/>
  <c r="BK92" i="45"/>
  <c r="AW92" i="45"/>
  <c r="BI92" i="45"/>
  <c r="AV92" i="45"/>
  <c r="BH92" i="45"/>
  <c r="AU92" i="45"/>
  <c r="BG92" i="45"/>
  <c r="AO92" i="45"/>
  <c r="AN92" i="45"/>
  <c r="AM92" i="45"/>
  <c r="BM91" i="45"/>
  <c r="BK91" i="45"/>
  <c r="AW91" i="45"/>
  <c r="BI91" i="45"/>
  <c r="AV91" i="45"/>
  <c r="BH91" i="45"/>
  <c r="AU91" i="45"/>
  <c r="BG91" i="45"/>
  <c r="AT91" i="45"/>
  <c r="AO91" i="45"/>
  <c r="AN91" i="45"/>
  <c r="AM91" i="45"/>
  <c r="BM90" i="45"/>
  <c r="BK90" i="45"/>
  <c r="AW90" i="45"/>
  <c r="BI90" i="45"/>
  <c r="AV90" i="45"/>
  <c r="BH90" i="45"/>
  <c r="AU90" i="45"/>
  <c r="BG90" i="45"/>
  <c r="AT90" i="45"/>
  <c r="AO90" i="45"/>
  <c r="AN90" i="45"/>
  <c r="AM90" i="45"/>
  <c r="BM89" i="45"/>
  <c r="BK89" i="45"/>
  <c r="AW89" i="45"/>
  <c r="AV89" i="45"/>
  <c r="AU89" i="45"/>
  <c r="AO89" i="45"/>
  <c r="AN89" i="45"/>
  <c r="AM89" i="45"/>
  <c r="AL82" i="45"/>
  <c r="AM82" i="45"/>
  <c r="AN82" i="45"/>
  <c r="AO82" i="45"/>
  <c r="AT82" i="45"/>
  <c r="AU82" i="45"/>
  <c r="BG82" i="45"/>
  <c r="AV82" i="45"/>
  <c r="BH82" i="45"/>
  <c r="AW82" i="45"/>
  <c r="BI82" i="45"/>
  <c r="BK82" i="45"/>
  <c r="BM82" i="45"/>
  <c r="AM83" i="45"/>
  <c r="AN83" i="45"/>
  <c r="AO83" i="45"/>
  <c r="AU83" i="45"/>
  <c r="BG83" i="45"/>
  <c r="AV83" i="45"/>
  <c r="BH83" i="45"/>
  <c r="AW83" i="45"/>
  <c r="BI83" i="45"/>
  <c r="BK83" i="45"/>
  <c r="BM83" i="45"/>
  <c r="AM84" i="45"/>
  <c r="AN84" i="45"/>
  <c r="AO84" i="45"/>
  <c r="AU84" i="45"/>
  <c r="BG84" i="45"/>
  <c r="AV84" i="45"/>
  <c r="BH84" i="45"/>
  <c r="AW84" i="45"/>
  <c r="BI84" i="45"/>
  <c r="BK84" i="45"/>
  <c r="BM84" i="45"/>
  <c r="AL85" i="45"/>
  <c r="AM85" i="45"/>
  <c r="AN85" i="45"/>
  <c r="AO85" i="45"/>
  <c r="AT85" i="45"/>
  <c r="AU85" i="45"/>
  <c r="BG85" i="45"/>
  <c r="AV85" i="45"/>
  <c r="BH85" i="45"/>
  <c r="AW85" i="45"/>
  <c r="BI85" i="45"/>
  <c r="BK85" i="45"/>
  <c r="BM85" i="45"/>
  <c r="AM86" i="45"/>
  <c r="AN86" i="45"/>
  <c r="AO86" i="45"/>
  <c r="AU86" i="45"/>
  <c r="BG86" i="45"/>
  <c r="AV86" i="45"/>
  <c r="BH86" i="45"/>
  <c r="AW86" i="45"/>
  <c r="BI86" i="45"/>
  <c r="BK86" i="45"/>
  <c r="BM86" i="45"/>
  <c r="AM87" i="45"/>
  <c r="AN87" i="45"/>
  <c r="AO87" i="45"/>
  <c r="AU87" i="45"/>
  <c r="BG87" i="45"/>
  <c r="AV87" i="45"/>
  <c r="BH87" i="45"/>
  <c r="AW87" i="45"/>
  <c r="BI87" i="45"/>
  <c r="BK87" i="45"/>
  <c r="BM87" i="45"/>
  <c r="AV80" i="45"/>
  <c r="BM70" i="45"/>
  <c r="BK70" i="45"/>
  <c r="AW70" i="45"/>
  <c r="BI70" i="45"/>
  <c r="AV70" i="45"/>
  <c r="BH70" i="45"/>
  <c r="AU70" i="45"/>
  <c r="BG70" i="45"/>
  <c r="AT70" i="45"/>
  <c r="AO70" i="45"/>
  <c r="AN70" i="45"/>
  <c r="AM70" i="45"/>
  <c r="BM42" i="45"/>
  <c r="BM41" i="45"/>
  <c r="BM40" i="45"/>
  <c r="BM39" i="45"/>
  <c r="BM38" i="45"/>
  <c r="BM37" i="45"/>
  <c r="BM36" i="45"/>
  <c r="BM35" i="45"/>
  <c r="BM34" i="45"/>
  <c r="BM33" i="45"/>
  <c r="BK42" i="45"/>
  <c r="BK41" i="45"/>
  <c r="BK40" i="45"/>
  <c r="BK39" i="45"/>
  <c r="BK38" i="45"/>
  <c r="BK37" i="45"/>
  <c r="BK36" i="45"/>
  <c r="BK35" i="45"/>
  <c r="BK34" i="45"/>
  <c r="BK33" i="45"/>
  <c r="AW42" i="45"/>
  <c r="AV42" i="45"/>
  <c r="AU42" i="45"/>
  <c r="AW41" i="45"/>
  <c r="AV41" i="45"/>
  <c r="AU41" i="45"/>
  <c r="AW40" i="45"/>
  <c r="AV40" i="45"/>
  <c r="AU40" i="45"/>
  <c r="AT40" i="45"/>
  <c r="AW39" i="45"/>
  <c r="AV39" i="45"/>
  <c r="AU39" i="45"/>
  <c r="AT39" i="45"/>
  <c r="AW38" i="45"/>
  <c r="AV38" i="45"/>
  <c r="AU38" i="45"/>
  <c r="AT38" i="45"/>
  <c r="AW37" i="45"/>
  <c r="AV37" i="45"/>
  <c r="AU37" i="45"/>
  <c r="AW36" i="45"/>
  <c r="AV36" i="45"/>
  <c r="AU36" i="45"/>
  <c r="AW35" i="45"/>
  <c r="AV35" i="45"/>
  <c r="AU35" i="45"/>
  <c r="AT35" i="45"/>
  <c r="BF35" i="45"/>
  <c r="AW34" i="45"/>
  <c r="AV34" i="45"/>
  <c r="AU34" i="45"/>
  <c r="AW33" i="45"/>
  <c r="AV33" i="45"/>
  <c r="AU33" i="45"/>
  <c r="AT33" i="45"/>
  <c r="BF33" i="45"/>
  <c r="AO42" i="45"/>
  <c r="AN42" i="45"/>
  <c r="AM42" i="45"/>
  <c r="AO41" i="45"/>
  <c r="AN41" i="45"/>
  <c r="AM41" i="45"/>
  <c r="AO40" i="45"/>
  <c r="AN40" i="45"/>
  <c r="AM40" i="45"/>
  <c r="AO39" i="45"/>
  <c r="AN39" i="45"/>
  <c r="AM39" i="45"/>
  <c r="AO38" i="45"/>
  <c r="AN38" i="45"/>
  <c r="AM38" i="45"/>
  <c r="AO37" i="45"/>
  <c r="AN37" i="45"/>
  <c r="AM37" i="45"/>
  <c r="AO36" i="45"/>
  <c r="AN36" i="45"/>
  <c r="AM36" i="45"/>
  <c r="AO35" i="45"/>
  <c r="AN35" i="45"/>
  <c r="AM35" i="45"/>
  <c r="AO34" i="45"/>
  <c r="AN34" i="45"/>
  <c r="AM34" i="45"/>
  <c r="AO33" i="45"/>
  <c r="AN33" i="45"/>
  <c r="AM33" i="45"/>
  <c r="BM66" i="45"/>
  <c r="BK66" i="45"/>
  <c r="AW66" i="45"/>
  <c r="BI66" i="45"/>
  <c r="AV66" i="45"/>
  <c r="BH66" i="45"/>
  <c r="AU66" i="45"/>
  <c r="BG66" i="45"/>
  <c r="AO66" i="45"/>
  <c r="AN66" i="45"/>
  <c r="AM66" i="45"/>
  <c r="AL66" i="45"/>
  <c r="BM54" i="45"/>
  <c r="BK54" i="45"/>
  <c r="BM53" i="45"/>
  <c r="BK53" i="45"/>
  <c r="BM52" i="45"/>
  <c r="BK52" i="45"/>
  <c r="AW54" i="45"/>
  <c r="AV54" i="45"/>
  <c r="AU54" i="45"/>
  <c r="AT54" i="45"/>
  <c r="BF54" i="45"/>
  <c r="AW53" i="45"/>
  <c r="AV53" i="45"/>
  <c r="AU53" i="45"/>
  <c r="AT53" i="45"/>
  <c r="BF53" i="45"/>
  <c r="AW52" i="45"/>
  <c r="AV52" i="45"/>
  <c r="AU52" i="45"/>
  <c r="AO54" i="45"/>
  <c r="AN54" i="45"/>
  <c r="AM54" i="45"/>
  <c r="AO53" i="45"/>
  <c r="AN53" i="45"/>
  <c r="AM53" i="45"/>
  <c r="AO52" i="45"/>
  <c r="AN52" i="45"/>
  <c r="AM52" i="45"/>
  <c r="AO51" i="45"/>
  <c r="AM51" i="45"/>
  <c r="BF101" i="45"/>
  <c r="BF66" i="45"/>
  <c r="AO104" i="45"/>
  <c r="BF107" i="45"/>
  <c r="AX61" i="45"/>
  <c r="AV51" i="45"/>
  <c r="AN51" i="45"/>
  <c r="AW80" i="45"/>
  <c r="BF38" i="45"/>
  <c r="AX73" i="45"/>
  <c r="BN92" i="45"/>
  <c r="AV88" i="45"/>
  <c r="AU88" i="45"/>
  <c r="AN80" i="45"/>
  <c r="AX57" i="45"/>
  <c r="AM80" i="45"/>
  <c r="AN104" i="45"/>
  <c r="AX46" i="45"/>
  <c r="BM51" i="45"/>
  <c r="AU51" i="45"/>
  <c r="BF70" i="45"/>
  <c r="BF39" i="45"/>
  <c r="BL33" i="45"/>
  <c r="AX104" i="45"/>
  <c r="BL106" i="45"/>
  <c r="BF103" i="45"/>
  <c r="AX99" i="45"/>
  <c r="BF102" i="45"/>
  <c r="AX88" i="45"/>
  <c r="BF88" i="45"/>
  <c r="BF85" i="45"/>
  <c r="BF84" i="45"/>
  <c r="AX80" i="45"/>
  <c r="BF83" i="45"/>
  <c r="BF82" i="45"/>
  <c r="AX76" i="45"/>
  <c r="AX67" i="45"/>
  <c r="BF51" i="45"/>
  <c r="BL42" i="45"/>
  <c r="BF41" i="45"/>
  <c r="BL40" i="45"/>
  <c r="BL34" i="45"/>
  <c r="AX28" i="45"/>
  <c r="AX21" i="45"/>
  <c r="AX18" i="45"/>
  <c r="AX13" i="45"/>
  <c r="AX9" i="45"/>
  <c r="BN94" i="45"/>
  <c r="BN37" i="45"/>
  <c r="BN87" i="45"/>
  <c r="AL87" i="45"/>
  <c r="AD9" i="45"/>
  <c r="BJ9" i="45"/>
  <c r="BF105" i="45"/>
  <c r="BF40" i="45"/>
  <c r="BN98" i="45"/>
  <c r="AT42" i="45"/>
  <c r="BF42" i="45"/>
  <c r="BN84" i="45"/>
  <c r="AL83" i="45"/>
  <c r="BN39" i="45"/>
  <c r="AT34" i="45"/>
  <c r="BF34" i="45"/>
  <c r="AO80" i="45"/>
  <c r="AL84" i="45"/>
  <c r="BN93" i="45"/>
  <c r="BM88" i="45"/>
  <c r="BL90" i="45"/>
  <c r="BN90" i="45"/>
  <c r="AW51" i="45"/>
  <c r="BL41" i="45"/>
  <c r="BK80" i="45"/>
  <c r="BN95" i="45"/>
  <c r="BN102" i="45"/>
  <c r="BM80" i="45"/>
  <c r="BN82" i="45"/>
  <c r="BN38" i="45"/>
  <c r="BN36" i="45"/>
  <c r="AH17" i="45"/>
  <c r="AH7" i="45"/>
  <c r="BL94" i="45"/>
  <c r="BK88" i="45"/>
  <c r="BL97" i="45"/>
  <c r="BL86" i="45"/>
  <c r="BL83" i="45"/>
  <c r="BL70" i="45"/>
  <c r="BL53" i="45"/>
  <c r="BL35" i="45"/>
  <c r="AL103" i="45"/>
  <c r="BN103" i="45"/>
  <c r="AT96" i="45"/>
  <c r="BF96" i="45"/>
  <c r="BN96" i="45"/>
  <c r="AT97" i="45"/>
  <c r="BF97" i="45"/>
  <c r="BL95" i="45"/>
  <c r="AL86" i="45"/>
  <c r="AT86" i="45"/>
  <c r="BF86" i="45"/>
  <c r="AT37" i="45"/>
  <c r="BF37" i="45"/>
  <c r="AD28" i="45"/>
  <c r="BJ28" i="45"/>
  <c r="AT36" i="45"/>
  <c r="BF36" i="45"/>
  <c r="BL36" i="45"/>
  <c r="BN106" i="45"/>
  <c r="BL107" i="45"/>
  <c r="BN107" i="45"/>
  <c r="BN101" i="45"/>
  <c r="BL102" i="45"/>
  <c r="BL101" i="45"/>
  <c r="BI105" i="45"/>
  <c r="BH105" i="45"/>
  <c r="BG105" i="45"/>
  <c r="AM104" i="45"/>
  <c r="BK104" i="45"/>
  <c r="BL92" i="45"/>
  <c r="BN97" i="45"/>
  <c r="BL91" i="45"/>
  <c r="BN91" i="45"/>
  <c r="BL98" i="45"/>
  <c r="BN83" i="45"/>
  <c r="BL82" i="45"/>
  <c r="BL87" i="45"/>
  <c r="BF87" i="45"/>
  <c r="BN86" i="45"/>
  <c r="BN85" i="45"/>
  <c r="BL85" i="45"/>
  <c r="BN70" i="45"/>
  <c r="BL66" i="45"/>
  <c r="BN66" i="45"/>
  <c r="BL54" i="45"/>
  <c r="BN54" i="45"/>
  <c r="BF52" i="45"/>
  <c r="BN53" i="45"/>
  <c r="BN40" i="45"/>
  <c r="BN33" i="45"/>
  <c r="BN41" i="45"/>
  <c r="BL38" i="45"/>
  <c r="BN34" i="45"/>
  <c r="BN42" i="45"/>
  <c r="BL39" i="45"/>
  <c r="BN35" i="45"/>
  <c r="BH100" i="45"/>
  <c r="BI100" i="45"/>
  <c r="BG100" i="45"/>
  <c r="BF100" i="45"/>
  <c r="BF93" i="45"/>
  <c r="BF90" i="45"/>
  <c r="BF98" i="45"/>
  <c r="BF92" i="45"/>
  <c r="BF91" i="45"/>
  <c r="BF94" i="45"/>
  <c r="BF95" i="45"/>
  <c r="BH89" i="45"/>
  <c r="BF89" i="45"/>
  <c r="BG89" i="45"/>
  <c r="AM88" i="45"/>
  <c r="AN88" i="45"/>
  <c r="AO88" i="45"/>
  <c r="BI89" i="45"/>
  <c r="AU80" i="45"/>
  <c r="BK51" i="45"/>
  <c r="AX56" i="45"/>
  <c r="AX55" i="45"/>
  <c r="AX72" i="45"/>
  <c r="AX71" i="45"/>
  <c r="BL37" i="45"/>
  <c r="BL103" i="45"/>
  <c r="BL93" i="45"/>
  <c r="BL96" i="45"/>
  <c r="BL84" i="45"/>
  <c r="P32" i="45"/>
  <c r="W65" i="45"/>
  <c r="W63" i="45"/>
  <c r="W88" i="45"/>
  <c r="W89" i="45"/>
  <c r="W90" i="45"/>
  <c r="W91" i="45"/>
  <c r="W92" i="45"/>
  <c r="W93" i="45"/>
  <c r="W94" i="45"/>
  <c r="W95" i="45"/>
  <c r="W96" i="45"/>
  <c r="W97" i="45"/>
  <c r="W98" i="45"/>
  <c r="W99" i="45"/>
  <c r="W100" i="45"/>
  <c r="W101" i="45"/>
  <c r="W102" i="45"/>
  <c r="W103" i="45"/>
  <c r="W104" i="45"/>
  <c r="W105" i="45"/>
  <c r="W106" i="45"/>
  <c r="W107" i="45"/>
  <c r="V88" i="45"/>
  <c r="V89" i="45"/>
  <c r="V90" i="45"/>
  <c r="V91" i="45"/>
  <c r="V92" i="45"/>
  <c r="V93" i="45"/>
  <c r="V94" i="45"/>
  <c r="V95" i="45"/>
  <c r="V96" i="45"/>
  <c r="V97" i="45"/>
  <c r="V98" i="45"/>
  <c r="V99" i="45"/>
  <c r="V100" i="45"/>
  <c r="V101" i="45"/>
  <c r="V102" i="45"/>
  <c r="V103" i="45"/>
  <c r="V104" i="45"/>
  <c r="V105" i="45"/>
  <c r="V106" i="45"/>
  <c r="V107" i="45"/>
  <c r="P64" i="45"/>
  <c r="P18" i="45"/>
  <c r="P11" i="45"/>
  <c r="P24" i="45"/>
  <c r="W67" i="45"/>
  <c r="W33" i="45"/>
  <c r="W34" i="45"/>
  <c r="W35" i="45"/>
  <c r="W36" i="45"/>
  <c r="W37" i="45"/>
  <c r="W38" i="45"/>
  <c r="W39" i="45"/>
  <c r="W40" i="45"/>
  <c r="W41" i="45"/>
  <c r="W42" i="45"/>
  <c r="V52" i="45"/>
  <c r="V53" i="45"/>
  <c r="V54" i="45"/>
  <c r="W52" i="45"/>
  <c r="W53" i="45"/>
  <c r="W54" i="45"/>
  <c r="W70" i="45"/>
  <c r="W66" i="45"/>
  <c r="X106" i="45"/>
  <c r="X107" i="45"/>
  <c r="X105" i="45"/>
  <c r="X101" i="45"/>
  <c r="X102" i="45"/>
  <c r="X103" i="45"/>
  <c r="X100" i="45"/>
  <c r="X90" i="45"/>
  <c r="X91" i="45"/>
  <c r="X92" i="45"/>
  <c r="X93" i="45"/>
  <c r="X94" i="45"/>
  <c r="X95" i="45"/>
  <c r="X96" i="45"/>
  <c r="X97" i="45"/>
  <c r="X98" i="45"/>
  <c r="X89" i="45"/>
  <c r="W82" i="45"/>
  <c r="W83" i="45"/>
  <c r="W84" i="45"/>
  <c r="W85" i="45"/>
  <c r="W86" i="45"/>
  <c r="W87" i="45"/>
  <c r="V87" i="45"/>
  <c r="V86" i="45"/>
  <c r="V85" i="45"/>
  <c r="V84" i="45"/>
  <c r="V83" i="45"/>
  <c r="V82" i="45"/>
  <c r="V70" i="45"/>
  <c r="P66" i="45"/>
  <c r="V66" i="45"/>
  <c r="P42" i="45"/>
  <c r="V42" i="45"/>
  <c r="P41" i="45"/>
  <c r="V41" i="45"/>
  <c r="P40" i="45"/>
  <c r="V40" i="45"/>
  <c r="P39" i="45"/>
  <c r="V39" i="45"/>
  <c r="P38" i="45"/>
  <c r="V38" i="45"/>
  <c r="V37" i="45"/>
  <c r="V36" i="45"/>
  <c r="P35" i="45"/>
  <c r="V35" i="45"/>
  <c r="V34" i="45"/>
  <c r="V33" i="45"/>
  <c r="P25" i="45"/>
  <c r="P70" i="45"/>
  <c r="P67" i="45"/>
  <c r="P54" i="45"/>
  <c r="P52" i="45"/>
  <c r="AD43" i="45"/>
  <c r="P44" i="45"/>
  <c r="P43" i="45"/>
  <c r="Q44" i="45"/>
  <c r="Q43" i="45"/>
  <c r="R44" i="45"/>
  <c r="R43" i="45"/>
  <c r="S44" i="45"/>
  <c r="S43" i="45"/>
  <c r="W44" i="45"/>
  <c r="AL44" i="45"/>
  <c r="AM44" i="45"/>
  <c r="AN44" i="45"/>
  <c r="AO44" i="45"/>
  <c r="AT44" i="45"/>
  <c r="AX43" i="45"/>
  <c r="AX27" i="45"/>
  <c r="AU44" i="45"/>
  <c r="AV44" i="45"/>
  <c r="AW44" i="45"/>
  <c r="BK44" i="45"/>
  <c r="BM44" i="45"/>
  <c r="P106" i="45"/>
  <c r="P107" i="45"/>
  <c r="P105" i="45"/>
  <c r="P101" i="45"/>
  <c r="P102" i="45"/>
  <c r="P103" i="45"/>
  <c r="P100" i="45"/>
  <c r="P93" i="45"/>
  <c r="P95" i="45"/>
  <c r="P96" i="45"/>
  <c r="P97" i="45"/>
  <c r="P98" i="45"/>
  <c r="P82" i="45"/>
  <c r="P83" i="45"/>
  <c r="P84" i="45"/>
  <c r="P85" i="45"/>
  <c r="P86" i="45"/>
  <c r="P87" i="45"/>
  <c r="BM24" i="45"/>
  <c r="BK24" i="45"/>
  <c r="AT24" i="45"/>
  <c r="BF24" i="45"/>
  <c r="AU24" i="45"/>
  <c r="AV24" i="45"/>
  <c r="AW24" i="45"/>
  <c r="W24" i="45"/>
  <c r="V24" i="45"/>
  <c r="AD13" i="45"/>
  <c r="Q14" i="45"/>
  <c r="R14" i="45"/>
  <c r="R13" i="45"/>
  <c r="S14" i="45"/>
  <c r="S13" i="45"/>
  <c r="V14" i="45"/>
  <c r="W14" i="45"/>
  <c r="AM14" i="45"/>
  <c r="AN14" i="45"/>
  <c r="AO14" i="45"/>
  <c r="AT14" i="45"/>
  <c r="AU14" i="45"/>
  <c r="AV14" i="45"/>
  <c r="BH14" i="45"/>
  <c r="AW14" i="45"/>
  <c r="BK14" i="45"/>
  <c r="BM14" i="45"/>
  <c r="P15" i="45"/>
  <c r="P13" i="45"/>
  <c r="Q15" i="45"/>
  <c r="R15" i="45"/>
  <c r="S15" i="45"/>
  <c r="V15" i="45"/>
  <c r="W15" i="45"/>
  <c r="AM15" i="45"/>
  <c r="AN15" i="45"/>
  <c r="AO15" i="45"/>
  <c r="AT15" i="45"/>
  <c r="AU15" i="45"/>
  <c r="BG15" i="45"/>
  <c r="AV15" i="45"/>
  <c r="BH15" i="45"/>
  <c r="AW15" i="45"/>
  <c r="BI15" i="45"/>
  <c r="BK15" i="45"/>
  <c r="BM15" i="45"/>
  <c r="Q16" i="45"/>
  <c r="R16" i="45"/>
  <c r="S16" i="45"/>
  <c r="V16" i="45"/>
  <c r="W16" i="45"/>
  <c r="AL16" i="45"/>
  <c r="AM16" i="45"/>
  <c r="AN16" i="45"/>
  <c r="AO16" i="45"/>
  <c r="AT16" i="45"/>
  <c r="BF16" i="45"/>
  <c r="AU16" i="45"/>
  <c r="BG16" i="45"/>
  <c r="AV16" i="45"/>
  <c r="BH16" i="45"/>
  <c r="AW16" i="45"/>
  <c r="BI16" i="45"/>
  <c r="BK16" i="45"/>
  <c r="BM16" i="45"/>
  <c r="AD27" i="45"/>
  <c r="BJ43" i="45"/>
  <c r="AD8" i="45"/>
  <c r="BJ8" i="45"/>
  <c r="BJ13" i="45"/>
  <c r="P51" i="45"/>
  <c r="X88" i="45"/>
  <c r="X86" i="45"/>
  <c r="X104" i="45"/>
  <c r="P104" i="45"/>
  <c r="BF15" i="45"/>
  <c r="AX8" i="45"/>
  <c r="X99" i="45"/>
  <c r="P99" i="45"/>
  <c r="X87" i="45"/>
  <c r="X85" i="45"/>
  <c r="P88" i="45"/>
  <c r="AN43" i="45"/>
  <c r="X34" i="45"/>
  <c r="X41" i="45"/>
  <c r="X40" i="45"/>
  <c r="X66" i="45"/>
  <c r="X39" i="45"/>
  <c r="X38" i="45"/>
  <c r="X42" i="45"/>
  <c r="X84" i="45"/>
  <c r="X83" i="45"/>
  <c r="X82" i="45"/>
  <c r="X70" i="45"/>
  <c r="X54" i="45"/>
  <c r="X52" i="45"/>
  <c r="X53" i="45"/>
  <c r="BF43" i="45"/>
  <c r="X37" i="45"/>
  <c r="X36" i="45"/>
  <c r="X35" i="45"/>
  <c r="X33" i="45"/>
  <c r="Q13" i="45"/>
  <c r="BN44" i="45"/>
  <c r="BL44" i="45"/>
  <c r="AL43" i="45"/>
  <c r="BM43" i="45"/>
  <c r="AO43" i="45"/>
  <c r="AM43" i="45"/>
  <c r="AT43" i="45"/>
  <c r="X44" i="45"/>
  <c r="X43" i="45"/>
  <c r="AW43" i="45"/>
  <c r="AV43" i="45"/>
  <c r="AU43" i="45"/>
  <c r="BH43" i="45"/>
  <c r="BH44" i="45"/>
  <c r="BG43" i="45"/>
  <c r="BG44" i="45"/>
  <c r="BI44" i="45"/>
  <c r="BI43" i="45"/>
  <c r="BK43" i="45"/>
  <c r="BF44" i="45"/>
  <c r="BL24" i="45"/>
  <c r="BN24" i="45"/>
  <c r="X24" i="45"/>
  <c r="AT13" i="45"/>
  <c r="AO13" i="45"/>
  <c r="AN13" i="45"/>
  <c r="AU13" i="45"/>
  <c r="AM13" i="45"/>
  <c r="AL13" i="45"/>
  <c r="X14" i="45"/>
  <c r="BN16" i="45"/>
  <c r="X15" i="45"/>
  <c r="BL15" i="45"/>
  <c r="AV13" i="45"/>
  <c r="BL16" i="45"/>
  <c r="BI14" i="45"/>
  <c r="BI13" i="45"/>
  <c r="BG14" i="45"/>
  <c r="BG13" i="45"/>
  <c r="BL14" i="45"/>
  <c r="BN15" i="45"/>
  <c r="AW13" i="45"/>
  <c r="BK13" i="45"/>
  <c r="X16" i="45"/>
  <c r="BF14" i="45"/>
  <c r="BF13" i="45"/>
  <c r="BN14" i="45"/>
  <c r="BH13" i="45"/>
  <c r="BM13" i="45"/>
  <c r="A3" i="45"/>
  <c r="A2" i="45"/>
  <c r="BM81" i="45"/>
  <c r="BK81" i="45"/>
  <c r="AW81" i="45"/>
  <c r="AV81" i="45"/>
  <c r="AU81" i="45"/>
  <c r="AO81" i="45"/>
  <c r="AN81" i="45"/>
  <c r="AM81" i="45"/>
  <c r="W81" i="45"/>
  <c r="V81" i="45"/>
  <c r="S81" i="45"/>
  <c r="R81" i="45"/>
  <c r="Q81" i="45"/>
  <c r="P81" i="45"/>
  <c r="P80" i="45"/>
  <c r="BM79" i="45"/>
  <c r="BK79" i="45"/>
  <c r="AW79" i="45"/>
  <c r="BI79" i="45"/>
  <c r="AV79" i="45"/>
  <c r="BH79" i="45"/>
  <c r="AU79" i="45"/>
  <c r="BG79" i="45"/>
  <c r="AT79" i="45"/>
  <c r="BF79" i="45"/>
  <c r="AO79" i="45"/>
  <c r="AN79" i="45"/>
  <c r="AM79" i="45"/>
  <c r="AL79" i="45"/>
  <c r="W79" i="45"/>
  <c r="V79" i="45"/>
  <c r="S79" i="45"/>
  <c r="R79" i="45"/>
  <c r="Q79" i="45"/>
  <c r="P79" i="45"/>
  <c r="BM78" i="45"/>
  <c r="BK78" i="45"/>
  <c r="AW78" i="45"/>
  <c r="BI78" i="45"/>
  <c r="AV78" i="45"/>
  <c r="BH78" i="45"/>
  <c r="AU78" i="45"/>
  <c r="BG78" i="45"/>
  <c r="AT78" i="45"/>
  <c r="BF78" i="45"/>
  <c r="AO78" i="45"/>
  <c r="AN78" i="45"/>
  <c r="AM78" i="45"/>
  <c r="AL78" i="45"/>
  <c r="W78" i="45"/>
  <c r="V78" i="45"/>
  <c r="S78" i="45"/>
  <c r="R78" i="45"/>
  <c r="Q78" i="45"/>
  <c r="P78" i="45"/>
  <c r="BM77" i="45"/>
  <c r="BK77" i="45"/>
  <c r="AW77" i="45"/>
  <c r="AV77" i="45"/>
  <c r="AU77" i="45"/>
  <c r="AO77" i="45"/>
  <c r="AN77" i="45"/>
  <c r="AM77" i="45"/>
  <c r="W77" i="45"/>
  <c r="V77" i="45"/>
  <c r="S77" i="45"/>
  <c r="R77" i="45"/>
  <c r="Q77" i="45"/>
  <c r="P77" i="45"/>
  <c r="BM75" i="45"/>
  <c r="BK75" i="45"/>
  <c r="AW75" i="45"/>
  <c r="BI75" i="45"/>
  <c r="AV75" i="45"/>
  <c r="BH75" i="45"/>
  <c r="AU75" i="45"/>
  <c r="BG75" i="45"/>
  <c r="AT75" i="45"/>
  <c r="BF75" i="45"/>
  <c r="AO75" i="45"/>
  <c r="AN75" i="45"/>
  <c r="AM75" i="45"/>
  <c r="AL75" i="45"/>
  <c r="W75" i="45"/>
  <c r="V75" i="45"/>
  <c r="S75" i="45"/>
  <c r="R75" i="45"/>
  <c r="Q75" i="45"/>
  <c r="P75" i="45"/>
  <c r="P73" i="45"/>
  <c r="BM74" i="45"/>
  <c r="BK74" i="45"/>
  <c r="AW74" i="45"/>
  <c r="AV74" i="45"/>
  <c r="AU74" i="45"/>
  <c r="AO74" i="45"/>
  <c r="AN74" i="45"/>
  <c r="AM74" i="45"/>
  <c r="W74" i="45"/>
  <c r="V74" i="45"/>
  <c r="S74" i="45"/>
  <c r="S73" i="45"/>
  <c r="S72" i="45"/>
  <c r="R74" i="45"/>
  <c r="Q74" i="45"/>
  <c r="BM69" i="45"/>
  <c r="BK69" i="45"/>
  <c r="AW69" i="45"/>
  <c r="BI69" i="45"/>
  <c r="AV69" i="45"/>
  <c r="BH69" i="45"/>
  <c r="AU69" i="45"/>
  <c r="BG69" i="45"/>
  <c r="AT69" i="45"/>
  <c r="BF69" i="45"/>
  <c r="AO69" i="45"/>
  <c r="AN69" i="45"/>
  <c r="AM69" i="45"/>
  <c r="V69" i="45"/>
  <c r="X69" i="45"/>
  <c r="S69" i="45"/>
  <c r="R69" i="45"/>
  <c r="Q69" i="45"/>
  <c r="BM68" i="45"/>
  <c r="BK68" i="45"/>
  <c r="AW68" i="45"/>
  <c r="AV68" i="45"/>
  <c r="BH68" i="45"/>
  <c r="AU68" i="45"/>
  <c r="AT68" i="45"/>
  <c r="AO68" i="45"/>
  <c r="AN68" i="45"/>
  <c r="AM68" i="45"/>
  <c r="AL68" i="45"/>
  <c r="V68" i="45"/>
  <c r="X68" i="45"/>
  <c r="S68" i="45"/>
  <c r="R68" i="45"/>
  <c r="Q68" i="45"/>
  <c r="BM65" i="45"/>
  <c r="BK65" i="45"/>
  <c r="AW65" i="45"/>
  <c r="BI65" i="45"/>
  <c r="AV65" i="45"/>
  <c r="BH65" i="45"/>
  <c r="AU65" i="45"/>
  <c r="BG65" i="45"/>
  <c r="AT65" i="45"/>
  <c r="BF65" i="45"/>
  <c r="AO65" i="45"/>
  <c r="AN65" i="45"/>
  <c r="AM65" i="45"/>
  <c r="V65" i="45"/>
  <c r="X65" i="45"/>
  <c r="S65" i="45"/>
  <c r="R65" i="45"/>
  <c r="Q65" i="45"/>
  <c r="BM64" i="45"/>
  <c r="BK64" i="45"/>
  <c r="AW64" i="45"/>
  <c r="BI64" i="45"/>
  <c r="AV64" i="45"/>
  <c r="BH64" i="45"/>
  <c r="AU64" i="45"/>
  <c r="BG64" i="45"/>
  <c r="AT64" i="45"/>
  <c r="BF64" i="45"/>
  <c r="AO64" i="45"/>
  <c r="AN64" i="45"/>
  <c r="AM64" i="45"/>
  <c r="W64" i="45"/>
  <c r="V64" i="45"/>
  <c r="S64" i="45"/>
  <c r="R64" i="45"/>
  <c r="Q64" i="45"/>
  <c r="BM63" i="45"/>
  <c r="BK63" i="45"/>
  <c r="AW63" i="45"/>
  <c r="BI63" i="45"/>
  <c r="AV63" i="45"/>
  <c r="BH63" i="45"/>
  <c r="AU63" i="45"/>
  <c r="BG63" i="45"/>
  <c r="AT63" i="45"/>
  <c r="BF63" i="45"/>
  <c r="AO63" i="45"/>
  <c r="AN63" i="45"/>
  <c r="AM63" i="45"/>
  <c r="V63" i="45"/>
  <c r="X63" i="45"/>
  <c r="S63" i="45"/>
  <c r="R63" i="45"/>
  <c r="Q63" i="45"/>
  <c r="P63" i="45"/>
  <c r="BM62" i="45"/>
  <c r="BK62" i="45"/>
  <c r="AW62" i="45"/>
  <c r="AV62" i="45"/>
  <c r="AU62" i="45"/>
  <c r="AO62" i="45"/>
  <c r="AN62" i="45"/>
  <c r="AM62" i="45"/>
  <c r="W62" i="45"/>
  <c r="V62" i="45"/>
  <c r="S62" i="45"/>
  <c r="R62" i="45"/>
  <c r="Q62" i="45"/>
  <c r="P62" i="45"/>
  <c r="BM60" i="45"/>
  <c r="BK60" i="45"/>
  <c r="AW60" i="45"/>
  <c r="BI60" i="45"/>
  <c r="AV60" i="45"/>
  <c r="BH60" i="45"/>
  <c r="AU60" i="45"/>
  <c r="BG60" i="45"/>
  <c r="AT60" i="45"/>
  <c r="BF60" i="45"/>
  <c r="AO60" i="45"/>
  <c r="AN60" i="45"/>
  <c r="AM60" i="45"/>
  <c r="W60" i="45"/>
  <c r="V60" i="45"/>
  <c r="S60" i="45"/>
  <c r="R60" i="45"/>
  <c r="Q60" i="45"/>
  <c r="BM59" i="45"/>
  <c r="BK59" i="45"/>
  <c r="AW59" i="45"/>
  <c r="BI59" i="45"/>
  <c r="AV59" i="45"/>
  <c r="BH59" i="45"/>
  <c r="AU59" i="45"/>
  <c r="BG59" i="45"/>
  <c r="AT59" i="45"/>
  <c r="BF59" i="45"/>
  <c r="AO59" i="45"/>
  <c r="AN59" i="45"/>
  <c r="AM59" i="45"/>
  <c r="W59" i="45"/>
  <c r="V59" i="45"/>
  <c r="S59" i="45"/>
  <c r="R59" i="45"/>
  <c r="Q59" i="45"/>
  <c r="P59" i="45"/>
  <c r="BM58" i="45"/>
  <c r="BK58" i="45"/>
  <c r="AW58" i="45"/>
  <c r="AV58" i="45"/>
  <c r="BH58" i="45"/>
  <c r="AU58" i="45"/>
  <c r="AO58" i="45"/>
  <c r="AN58" i="45"/>
  <c r="AM58" i="45"/>
  <c r="W58" i="45"/>
  <c r="V58" i="45"/>
  <c r="S58" i="45"/>
  <c r="R58" i="45"/>
  <c r="Q58" i="45"/>
  <c r="P58" i="45"/>
  <c r="BM50" i="45"/>
  <c r="BK50" i="45"/>
  <c r="AW50" i="45"/>
  <c r="BI50" i="45"/>
  <c r="AV50" i="45"/>
  <c r="BH50" i="45"/>
  <c r="AU50" i="45"/>
  <c r="BG50" i="45"/>
  <c r="AT50" i="45"/>
  <c r="BF50" i="45"/>
  <c r="AO50" i="45"/>
  <c r="AN50" i="45"/>
  <c r="AM50" i="45"/>
  <c r="W50" i="45"/>
  <c r="V50" i="45"/>
  <c r="S50" i="45"/>
  <c r="R50" i="45"/>
  <c r="Q50" i="45"/>
  <c r="BM49" i="45"/>
  <c r="BK49" i="45"/>
  <c r="AW49" i="45"/>
  <c r="BI49" i="45"/>
  <c r="AV49" i="45"/>
  <c r="BH49" i="45"/>
  <c r="AU49" i="45"/>
  <c r="BG49" i="45"/>
  <c r="AT49" i="45"/>
  <c r="BF49" i="45"/>
  <c r="AO49" i="45"/>
  <c r="AN49" i="45"/>
  <c r="AM49" i="45"/>
  <c r="W49" i="45"/>
  <c r="V49" i="45"/>
  <c r="S49" i="45"/>
  <c r="R49" i="45"/>
  <c r="Q49" i="45"/>
  <c r="P49" i="45"/>
  <c r="BM48" i="45"/>
  <c r="BK48" i="45"/>
  <c r="AW48" i="45"/>
  <c r="BI48" i="45"/>
  <c r="AV48" i="45"/>
  <c r="BH48" i="45"/>
  <c r="AU48" i="45"/>
  <c r="BG48" i="45"/>
  <c r="AT48" i="45"/>
  <c r="BF48" i="45"/>
  <c r="AO48" i="45"/>
  <c r="AN48" i="45"/>
  <c r="AM48" i="45"/>
  <c r="W48" i="45"/>
  <c r="V48" i="45"/>
  <c r="S48" i="45"/>
  <c r="R48" i="45"/>
  <c r="Q48" i="45"/>
  <c r="P48" i="45"/>
  <c r="BM47" i="45"/>
  <c r="BK47" i="45"/>
  <c r="AW47" i="45"/>
  <c r="AV47" i="45"/>
  <c r="BH47" i="45"/>
  <c r="AU47" i="45"/>
  <c r="AT47" i="45"/>
  <c r="AO47" i="45"/>
  <c r="AN47" i="45"/>
  <c r="AM47" i="45"/>
  <c r="W47" i="45"/>
  <c r="V47" i="45"/>
  <c r="S47" i="45"/>
  <c r="R47" i="45"/>
  <c r="Q47" i="45"/>
  <c r="P47" i="45"/>
  <c r="AD46" i="45"/>
  <c r="BJ46" i="45"/>
  <c r="BM32" i="45"/>
  <c r="BK32" i="45"/>
  <c r="AW32" i="45"/>
  <c r="BI32" i="45"/>
  <c r="AV32" i="45"/>
  <c r="BH32" i="45"/>
  <c r="AU32" i="45"/>
  <c r="BG32" i="45"/>
  <c r="AT32" i="45"/>
  <c r="BF32" i="45"/>
  <c r="AO32" i="45"/>
  <c r="AN32" i="45"/>
  <c r="AM32" i="45"/>
  <c r="W32" i="45"/>
  <c r="V32" i="45"/>
  <c r="S32" i="45"/>
  <c r="R32" i="45"/>
  <c r="Q32" i="45"/>
  <c r="BM31" i="45"/>
  <c r="BK31" i="45"/>
  <c r="AW31" i="45"/>
  <c r="BI31" i="45"/>
  <c r="AV31" i="45"/>
  <c r="BH31" i="45"/>
  <c r="AU31" i="45"/>
  <c r="BG31" i="45"/>
  <c r="AT31" i="45"/>
  <c r="BF31" i="45"/>
  <c r="AO31" i="45"/>
  <c r="AN31" i="45"/>
  <c r="AM31" i="45"/>
  <c r="W31" i="45"/>
  <c r="V31" i="45"/>
  <c r="S31" i="45"/>
  <c r="R31" i="45"/>
  <c r="Q31" i="45"/>
  <c r="P31" i="45"/>
  <c r="BM30" i="45"/>
  <c r="BK30" i="45"/>
  <c r="AW30" i="45"/>
  <c r="BI30" i="45"/>
  <c r="AV30" i="45"/>
  <c r="BH30" i="45"/>
  <c r="AU30" i="45"/>
  <c r="BG30" i="45"/>
  <c r="AT30" i="45"/>
  <c r="AO30" i="45"/>
  <c r="AN30" i="45"/>
  <c r="AM30" i="45"/>
  <c r="W30" i="45"/>
  <c r="V30" i="45"/>
  <c r="S30" i="45"/>
  <c r="R30" i="45"/>
  <c r="Q30" i="45"/>
  <c r="P30" i="45"/>
  <c r="BM29" i="45"/>
  <c r="BK29" i="45"/>
  <c r="AW29" i="45"/>
  <c r="AV29" i="45"/>
  <c r="AU29" i="45"/>
  <c r="AT29" i="45"/>
  <c r="AO29" i="45"/>
  <c r="AN29" i="45"/>
  <c r="AM29" i="45"/>
  <c r="W29" i="45"/>
  <c r="V29" i="45"/>
  <c r="S29" i="45"/>
  <c r="R29" i="45"/>
  <c r="Q29" i="45"/>
  <c r="AG27" i="45"/>
  <c r="AF27" i="45"/>
  <c r="AE27" i="45"/>
  <c r="BM25" i="45"/>
  <c r="BK25" i="45"/>
  <c r="AW25" i="45"/>
  <c r="BI25" i="45"/>
  <c r="AV25" i="45"/>
  <c r="BH25" i="45"/>
  <c r="AU25" i="45"/>
  <c r="BG25" i="45"/>
  <c r="AT25" i="45"/>
  <c r="AO25" i="45"/>
  <c r="AN25" i="45"/>
  <c r="AM25" i="45"/>
  <c r="AL25" i="45"/>
  <c r="W25" i="45"/>
  <c r="V25" i="45"/>
  <c r="S25" i="45"/>
  <c r="R25" i="45"/>
  <c r="Q25" i="45"/>
  <c r="BM23" i="45"/>
  <c r="BK23" i="45"/>
  <c r="AW23" i="45"/>
  <c r="BI23" i="45"/>
  <c r="AV23" i="45"/>
  <c r="BH23" i="45"/>
  <c r="AU23" i="45"/>
  <c r="BG23" i="45"/>
  <c r="AT23" i="45"/>
  <c r="BF23" i="45"/>
  <c r="AO23" i="45"/>
  <c r="AN23" i="45"/>
  <c r="AM23" i="45"/>
  <c r="W23" i="45"/>
  <c r="V23" i="45"/>
  <c r="S23" i="45"/>
  <c r="R23" i="45"/>
  <c r="Q23" i="45"/>
  <c r="BM22" i="45"/>
  <c r="BK22" i="45"/>
  <c r="AW22" i="45"/>
  <c r="AV22" i="45"/>
  <c r="AU22" i="45"/>
  <c r="BG22" i="45"/>
  <c r="AT22" i="45"/>
  <c r="BF22" i="45"/>
  <c r="AO22" i="45"/>
  <c r="AN22" i="45"/>
  <c r="AM22" i="45"/>
  <c r="W22" i="45"/>
  <c r="V22" i="45"/>
  <c r="S22" i="45"/>
  <c r="R22" i="45"/>
  <c r="Q22" i="45"/>
  <c r="P21" i="45"/>
  <c r="AD21" i="45"/>
  <c r="BJ21" i="45"/>
  <c r="BM20" i="45"/>
  <c r="BK20" i="45"/>
  <c r="AW20" i="45"/>
  <c r="BI20" i="45"/>
  <c r="AV20" i="45"/>
  <c r="BH20" i="45"/>
  <c r="AU20" i="45"/>
  <c r="BG20" i="45"/>
  <c r="AT20" i="45"/>
  <c r="BF20" i="45"/>
  <c r="AO20" i="45"/>
  <c r="AN20" i="45"/>
  <c r="AM20" i="45"/>
  <c r="AL20" i="45"/>
  <c r="W20" i="45"/>
  <c r="V20" i="45"/>
  <c r="S20" i="45"/>
  <c r="R20" i="45"/>
  <c r="Q20" i="45"/>
  <c r="BM19" i="45"/>
  <c r="BK19" i="45"/>
  <c r="AW19" i="45"/>
  <c r="AV19" i="45"/>
  <c r="AU19" i="45"/>
  <c r="AT19" i="45"/>
  <c r="AO19" i="45"/>
  <c r="AN19" i="45"/>
  <c r="AM19" i="45"/>
  <c r="W19" i="45"/>
  <c r="V19" i="45"/>
  <c r="S19" i="45"/>
  <c r="R19" i="45"/>
  <c r="Q19" i="45"/>
  <c r="AD18" i="45"/>
  <c r="BJ18" i="45"/>
  <c r="BM12" i="45"/>
  <c r="BK12" i="45"/>
  <c r="AW12" i="45"/>
  <c r="BI12" i="45"/>
  <c r="AV12" i="45"/>
  <c r="BH12" i="45"/>
  <c r="AU12" i="45"/>
  <c r="BG12" i="45"/>
  <c r="BF12" i="45"/>
  <c r="AO12" i="45"/>
  <c r="AN12" i="45"/>
  <c r="AM12" i="45"/>
  <c r="AL12" i="45"/>
  <c r="W12" i="45"/>
  <c r="V12" i="45"/>
  <c r="S12" i="45"/>
  <c r="R12" i="45"/>
  <c r="Q12" i="45"/>
  <c r="P12" i="45"/>
  <c r="P9" i="45"/>
  <c r="P8" i="45"/>
  <c r="BM11" i="45"/>
  <c r="BK11" i="45"/>
  <c r="AW11" i="45"/>
  <c r="BI11" i="45"/>
  <c r="AV11" i="45"/>
  <c r="BH11" i="45"/>
  <c r="AU11" i="45"/>
  <c r="BG11" i="45"/>
  <c r="BF11" i="45"/>
  <c r="AO11" i="45"/>
  <c r="AN11" i="45"/>
  <c r="AM11" i="45"/>
  <c r="W11" i="45"/>
  <c r="V11" i="45"/>
  <c r="S11" i="45"/>
  <c r="R11" i="45"/>
  <c r="Q11" i="45"/>
  <c r="BM10" i="45"/>
  <c r="BK10" i="45"/>
  <c r="AW10" i="45"/>
  <c r="AV10" i="45"/>
  <c r="AU10" i="45"/>
  <c r="BG10" i="45"/>
  <c r="BF10" i="45"/>
  <c r="AO10" i="45"/>
  <c r="AN10" i="45"/>
  <c r="AM10" i="45"/>
  <c r="W10" i="45"/>
  <c r="V10" i="45"/>
  <c r="S10" i="45"/>
  <c r="R10" i="45"/>
  <c r="Q10" i="45"/>
  <c r="S18" i="45"/>
  <c r="BJ27" i="45"/>
  <c r="AE26" i="45"/>
  <c r="AE108" i="45"/>
  <c r="BF68" i="45"/>
  <c r="BI81" i="45"/>
  <c r="BF25" i="45"/>
  <c r="BF30" i="45"/>
  <c r="BF47" i="45"/>
  <c r="AX45" i="45"/>
  <c r="AX26" i="45"/>
  <c r="BF58" i="45"/>
  <c r="BF81" i="45"/>
  <c r="BF80" i="45"/>
  <c r="BG81" i="45"/>
  <c r="BH81" i="45"/>
  <c r="BF61" i="45"/>
  <c r="P61" i="45"/>
  <c r="P28" i="45"/>
  <c r="P27" i="45"/>
  <c r="X51" i="45"/>
  <c r="P76" i="45"/>
  <c r="P72" i="45"/>
  <c r="P71" i="45"/>
  <c r="S76" i="45"/>
  <c r="Q18" i="45"/>
  <c r="R18" i="45"/>
  <c r="R76" i="45"/>
  <c r="R57" i="45"/>
  <c r="BN43" i="45"/>
  <c r="Q46" i="45"/>
  <c r="Q45" i="45"/>
  <c r="Q57" i="45"/>
  <c r="Q76" i="45"/>
  <c r="Q73" i="45"/>
  <c r="Q72" i="45"/>
  <c r="Q71" i="45"/>
  <c r="R73" i="45"/>
  <c r="R72" i="45"/>
  <c r="R71" i="45"/>
  <c r="Q67" i="45"/>
  <c r="S67" i="45"/>
  <c r="R67" i="45"/>
  <c r="Q61" i="45"/>
  <c r="R61" i="45"/>
  <c r="S61" i="45"/>
  <c r="S57" i="45"/>
  <c r="R46" i="45"/>
  <c r="R45" i="45"/>
  <c r="S46" i="45"/>
  <c r="S45" i="45"/>
  <c r="Q28" i="45"/>
  <c r="Q27" i="45"/>
  <c r="Q26" i="45"/>
  <c r="R28" i="45"/>
  <c r="R27" i="45"/>
  <c r="R26" i="45"/>
  <c r="S28" i="45"/>
  <c r="S27" i="45"/>
  <c r="S26" i="45"/>
  <c r="Q21" i="45"/>
  <c r="S21" i="45"/>
  <c r="R21" i="45"/>
  <c r="X13" i="45"/>
  <c r="S9" i="45"/>
  <c r="S8" i="45"/>
  <c r="Q9" i="45"/>
  <c r="Q8" i="45"/>
  <c r="R9" i="45"/>
  <c r="R8" i="45"/>
  <c r="P57" i="45"/>
  <c r="P46" i="45"/>
  <c r="P45" i="45"/>
  <c r="BL43" i="45"/>
  <c r="AU72" i="45"/>
  <c r="AU71" i="45"/>
  <c r="AW72" i="45"/>
  <c r="BK72" i="45"/>
  <c r="AM72" i="45"/>
  <c r="AV72" i="45"/>
  <c r="AV71" i="45"/>
  <c r="AN72" i="45"/>
  <c r="AN71" i="45"/>
  <c r="AO72" i="45"/>
  <c r="S71" i="45"/>
  <c r="BN13" i="45"/>
  <c r="BL13" i="45"/>
  <c r="AW21" i="45"/>
  <c r="BL31" i="45"/>
  <c r="BL68" i="45"/>
  <c r="AU28" i="45"/>
  <c r="AW57" i="45"/>
  <c r="AW76" i="45"/>
  <c r="X30" i="45"/>
  <c r="AN67" i="45"/>
  <c r="X19" i="45"/>
  <c r="AT9" i="45"/>
  <c r="AV18" i="45"/>
  <c r="BL60" i="45"/>
  <c r="AU73" i="45"/>
  <c r="AV9" i="45"/>
  <c r="X58" i="45"/>
  <c r="BL25" i="45"/>
  <c r="AN57" i="45"/>
  <c r="AO76" i="45"/>
  <c r="AW46" i="45"/>
  <c r="BN11" i="45"/>
  <c r="BN25" i="45"/>
  <c r="BL32" i="45"/>
  <c r="AF26" i="45"/>
  <c r="AF108" i="45"/>
  <c r="AN9" i="45"/>
  <c r="BL23" i="45"/>
  <c r="BN19" i="45"/>
  <c r="BN23" i="45"/>
  <c r="X75" i="45"/>
  <c r="V55" i="45"/>
  <c r="BN64" i="45"/>
  <c r="X64" i="45"/>
  <c r="AU61" i="45"/>
  <c r="BL12" i="45"/>
  <c r="X32" i="45"/>
  <c r="BL47" i="45"/>
  <c r="BN59" i="45"/>
  <c r="AV61" i="45"/>
  <c r="AT21" i="45"/>
  <c r="BN22" i="45"/>
  <c r="X25" i="45"/>
  <c r="BN47" i="45"/>
  <c r="BL75" i="45"/>
  <c r="X67" i="45"/>
  <c r="AD17" i="45"/>
  <c r="BL29" i="45"/>
  <c r="X50" i="45"/>
  <c r="BL78" i="45"/>
  <c r="BG21" i="45"/>
  <c r="AT28" i="45"/>
  <c r="BN31" i="45"/>
  <c r="BK61" i="45"/>
  <c r="AO73" i="45"/>
  <c r="AV76" i="45"/>
  <c r="X78" i="45"/>
  <c r="BN78" i="45"/>
  <c r="X81" i="45"/>
  <c r="X80" i="45"/>
  <c r="X22" i="45"/>
  <c r="AU26" i="45"/>
  <c r="X12" i="45"/>
  <c r="X20" i="45"/>
  <c r="AO21" i="45"/>
  <c r="AV57" i="45"/>
  <c r="X60" i="45"/>
  <c r="AN61" i="45"/>
  <c r="BL69" i="45"/>
  <c r="BK76" i="45"/>
  <c r="AM61" i="45"/>
  <c r="BL11" i="45"/>
  <c r="BL19" i="45"/>
  <c r="AL21" i="45"/>
  <c r="AO61" i="45"/>
  <c r="BL64" i="45"/>
  <c r="BN69" i="45"/>
  <c r="AM76" i="45"/>
  <c r="X11" i="45"/>
  <c r="P17" i="45"/>
  <c r="P7" i="45"/>
  <c r="BG58" i="45"/>
  <c r="BG57" i="45"/>
  <c r="BI28" i="45"/>
  <c r="BI29" i="45"/>
  <c r="BI9" i="45"/>
  <c r="BI10" i="45"/>
  <c r="BG62" i="45"/>
  <c r="BG61" i="45"/>
  <c r="BI74" i="45"/>
  <c r="BH62" i="45"/>
  <c r="BH61" i="45"/>
  <c r="BI62" i="45"/>
  <c r="BI61" i="45"/>
  <c r="BI77" i="45"/>
  <c r="BI47" i="45"/>
  <c r="AV67" i="45"/>
  <c r="BN68" i="45"/>
  <c r="X10" i="45"/>
  <c r="BI19" i="45"/>
  <c r="X31" i="45"/>
  <c r="AG26" i="45"/>
  <c r="AG108" i="45"/>
  <c r="X49" i="45"/>
  <c r="BL49" i="45"/>
  <c r="BM61" i="45"/>
  <c r="AU76" i="45"/>
  <c r="AM21" i="45"/>
  <c r="BG9" i="45"/>
  <c r="BL10" i="45"/>
  <c r="AT18" i="45"/>
  <c r="BL20" i="45"/>
  <c r="BH29" i="45"/>
  <c r="BN49" i="45"/>
  <c r="BF57" i="45"/>
  <c r="BF67" i="45"/>
  <c r="X74" i="45"/>
  <c r="BG19" i="45"/>
  <c r="AU18" i="45"/>
  <c r="BN32" i="45"/>
  <c r="AU67" i="45"/>
  <c r="AW73" i="45"/>
  <c r="X23" i="45"/>
  <c r="AL28" i="45"/>
  <c r="X29" i="45"/>
  <c r="AN46" i="45"/>
  <c r="AW61" i="45"/>
  <c r="BL63" i="45"/>
  <c r="AW67" i="45"/>
  <c r="BH22" i="45"/>
  <c r="BL30" i="45"/>
  <c r="BN63" i="45"/>
  <c r="BK67" i="45"/>
  <c r="AV73" i="45"/>
  <c r="X79" i="45"/>
  <c r="BL79" i="45"/>
  <c r="AO9" i="45"/>
  <c r="AU21" i="45"/>
  <c r="AM9" i="45"/>
  <c r="BI22" i="45"/>
  <c r="AO28" i="45"/>
  <c r="BN29" i="45"/>
  <c r="AM57" i="45"/>
  <c r="BN60" i="45"/>
  <c r="X62" i="45"/>
  <c r="BF62" i="45"/>
  <c r="BN79" i="45"/>
  <c r="AV21" i="45"/>
  <c r="AV46" i="45"/>
  <c r="X47" i="45"/>
  <c r="BL65" i="45"/>
  <c r="BM76" i="45"/>
  <c r="BL59" i="45"/>
  <c r="BN65" i="45"/>
  <c r="AO18" i="45"/>
  <c r="AU9" i="45"/>
  <c r="BN12" i="45"/>
  <c r="AM46" i="45"/>
  <c r="AU57" i="45"/>
  <c r="X59" i="45"/>
  <c r="BG77" i="45"/>
  <c r="BG46" i="45"/>
  <c r="BH19" i="45"/>
  <c r="BH10" i="45"/>
  <c r="BH74" i="45"/>
  <c r="BK9" i="45"/>
  <c r="AL9" i="45"/>
  <c r="AV28" i="45"/>
  <c r="BM28" i="45"/>
  <c r="BM9" i="45"/>
  <c r="AW18" i="45"/>
  <c r="BI18" i="45"/>
  <c r="BF19" i="45"/>
  <c r="AN21" i="45"/>
  <c r="BF21" i="45"/>
  <c r="BL22" i="45"/>
  <c r="BF29" i="45"/>
  <c r="AN18" i="45"/>
  <c r="BK21" i="45"/>
  <c r="AN28" i="45"/>
  <c r="BG29" i="45"/>
  <c r="AU46" i="45"/>
  <c r="BH28" i="45"/>
  <c r="BN10" i="45"/>
  <c r="BK18" i="45"/>
  <c r="AW28" i="45"/>
  <c r="BG47" i="45"/>
  <c r="BM57" i="45"/>
  <c r="AW9" i="45"/>
  <c r="BN20" i="45"/>
  <c r="BM21" i="45"/>
  <c r="BK28" i="45"/>
  <c r="AO46" i="45"/>
  <c r="BG18" i="45"/>
  <c r="BM18" i="45"/>
  <c r="AL46" i="45"/>
  <c r="X48" i="45"/>
  <c r="BM73" i="45"/>
  <c r="BF74" i="45"/>
  <c r="BM46" i="45"/>
  <c r="BL50" i="45"/>
  <c r="BN50" i="45"/>
  <c r="AL18" i="45"/>
  <c r="BH21" i="45"/>
  <c r="AM28" i="45"/>
  <c r="BK46" i="45"/>
  <c r="AM18" i="45"/>
  <c r="BI21" i="45"/>
  <c r="BN30" i="45"/>
  <c r="AT46" i="45"/>
  <c r="BH67" i="45"/>
  <c r="BK73" i="45"/>
  <c r="BF77" i="45"/>
  <c r="BG68" i="45"/>
  <c r="BL48" i="45"/>
  <c r="BK57" i="45"/>
  <c r="BI58" i="45"/>
  <c r="BM67" i="45"/>
  <c r="BH77" i="45"/>
  <c r="BN48" i="45"/>
  <c r="BI68" i="45"/>
  <c r="BI67" i="45"/>
  <c r="BG74" i="45"/>
  <c r="X77" i="45"/>
  <c r="AN76" i="45"/>
  <c r="AL67" i="45"/>
  <c r="AT67" i="45"/>
  <c r="AM67" i="45"/>
  <c r="AO57" i="45"/>
  <c r="AO67" i="45"/>
  <c r="AM73" i="45"/>
  <c r="AN73" i="45"/>
  <c r="AD7" i="45"/>
  <c r="BJ17" i="45"/>
  <c r="X73" i="45"/>
  <c r="S17" i="45"/>
  <c r="S7" i="45"/>
  <c r="AM55" i="45"/>
  <c r="X21" i="45"/>
  <c r="X61" i="45"/>
  <c r="X28" i="45"/>
  <c r="X27" i="45"/>
  <c r="X26" i="45"/>
  <c r="BF46" i="45"/>
  <c r="X76" i="45"/>
  <c r="BF18" i="45"/>
  <c r="AX17" i="45"/>
  <c r="BF17" i="45"/>
  <c r="AH108" i="45"/>
  <c r="P26" i="45"/>
  <c r="R17" i="45"/>
  <c r="R7" i="45"/>
  <c r="Q17" i="45"/>
  <c r="Q7" i="45"/>
  <c r="R56" i="45"/>
  <c r="R55" i="45"/>
  <c r="S56" i="45"/>
  <c r="S55" i="45"/>
  <c r="Q56" i="45"/>
  <c r="Q55" i="45"/>
  <c r="P56" i="45"/>
  <c r="P55" i="45"/>
  <c r="X9" i="45"/>
  <c r="X8" i="45"/>
  <c r="X18" i="45"/>
  <c r="X57" i="45"/>
  <c r="X46" i="45"/>
  <c r="X45" i="45"/>
  <c r="AM71" i="45"/>
  <c r="BI73" i="45"/>
  <c r="AO71" i="45"/>
  <c r="AW71" i="45"/>
  <c r="AO7" i="45"/>
  <c r="AW17" i="45"/>
  <c r="AU17" i="45"/>
  <c r="BI17" i="45"/>
  <c r="BN21" i="45"/>
  <c r="AU55" i="45"/>
  <c r="AT17" i="45"/>
  <c r="AM26" i="45"/>
  <c r="AL8" i="45"/>
  <c r="AO17" i="45"/>
  <c r="W55" i="45"/>
  <c r="BN18" i="45"/>
  <c r="BM17" i="45"/>
  <c r="BL18" i="45"/>
  <c r="AM17" i="45"/>
  <c r="BF76" i="45"/>
  <c r="BL21" i="45"/>
  <c r="AW56" i="45"/>
  <c r="BG56" i="45"/>
  <c r="AU56" i="45"/>
  <c r="AM45" i="45"/>
  <c r="AM27" i="45"/>
  <c r="AN56" i="45"/>
  <c r="AV55" i="45"/>
  <c r="AN17" i="45"/>
  <c r="BL67" i="45"/>
  <c r="BN67" i="45"/>
  <c r="AU27" i="45"/>
  <c r="BG17" i="45"/>
  <c r="AL27" i="45"/>
  <c r="AN8" i="45"/>
  <c r="AL17" i="45"/>
  <c r="AW45" i="45"/>
  <c r="BK8" i="45"/>
  <c r="BI46" i="45"/>
  <c r="AN55" i="45"/>
  <c r="AM56" i="45"/>
  <c r="AV56" i="45"/>
  <c r="BG26" i="45"/>
  <c r="BF55" i="45"/>
  <c r="AN45" i="45"/>
  <c r="BH73" i="45"/>
  <c r="BN9" i="45"/>
  <c r="AV17" i="45"/>
  <c r="BL46" i="45"/>
  <c r="BN46" i="45"/>
  <c r="BF73" i="45"/>
  <c r="AW27" i="45"/>
  <c r="BN28" i="45"/>
  <c r="BF9" i="45"/>
  <c r="BF28" i="45"/>
  <c r="AO27" i="45"/>
  <c r="BH9" i="45"/>
  <c r="AU8" i="45"/>
  <c r="BH46" i="45"/>
  <c r="AO45" i="45"/>
  <c r="BK45" i="45"/>
  <c r="AN27" i="45"/>
  <c r="AN26" i="45"/>
  <c r="AV26" i="45"/>
  <c r="AV27" i="45"/>
  <c r="AO8" i="45"/>
  <c r="BM8" i="45"/>
  <c r="AT8" i="45"/>
  <c r="BK17" i="45"/>
  <c r="AW8" i="45"/>
  <c r="BH17" i="45"/>
  <c r="BH18" i="45"/>
  <c r="BM27" i="45"/>
  <c r="AT27" i="45"/>
  <c r="BK27" i="45"/>
  <c r="BG67" i="45"/>
  <c r="BI57" i="45"/>
  <c r="BL9" i="45"/>
  <c r="AM8" i="45"/>
  <c r="BH57" i="45"/>
  <c r="AU45" i="45"/>
  <c r="BM45" i="45"/>
  <c r="BK56" i="45"/>
  <c r="BG73" i="45"/>
  <c r="AO56" i="45"/>
  <c r="BG28" i="45"/>
  <c r="AV45" i="45"/>
  <c r="BL28" i="45"/>
  <c r="BM56" i="45"/>
  <c r="AV8" i="45"/>
  <c r="K7" i="36"/>
  <c r="BJ7" i="45"/>
  <c r="P108" i="45"/>
  <c r="BI55" i="45"/>
  <c r="BI51" i="45"/>
  <c r="R108" i="45"/>
  <c r="S108" i="45"/>
  <c r="Q108" i="45"/>
  <c r="X17" i="45"/>
  <c r="X7" i="45"/>
  <c r="X56" i="45"/>
  <c r="X55" i="45"/>
  <c r="BK71" i="45"/>
  <c r="AW7" i="45"/>
  <c r="BL27" i="45"/>
  <c r="BN27" i="45"/>
  <c r="BN17" i="45"/>
  <c r="BF27" i="45"/>
  <c r="BG7" i="45"/>
  <c r="BH7" i="45"/>
  <c r="BL17" i="45"/>
  <c r="BF56" i="45"/>
  <c r="BG8" i="45"/>
  <c r="BI56" i="45"/>
  <c r="AM99" i="45"/>
  <c r="AL7" i="45"/>
  <c r="BI26" i="45"/>
  <c r="BI27" i="45"/>
  <c r="AM7" i="45"/>
  <c r="BK7" i="45"/>
  <c r="AN7" i="45"/>
  <c r="BI8" i="45"/>
  <c r="BG27" i="45"/>
  <c r="BH26" i="45"/>
  <c r="AO26" i="45"/>
  <c r="BI45" i="45"/>
  <c r="BH27" i="45"/>
  <c r="BL8" i="45"/>
  <c r="BG45" i="45"/>
  <c r="BK55" i="45"/>
  <c r="AV7" i="45"/>
  <c r="BM7" i="45"/>
  <c r="AT7" i="45"/>
  <c r="AU7" i="45"/>
  <c r="BI7" i="45"/>
  <c r="BF26" i="45"/>
  <c r="AW55" i="45"/>
  <c r="AO55" i="45"/>
  <c r="BM55" i="45"/>
  <c r="BK26" i="45"/>
  <c r="BH56" i="45"/>
  <c r="AX7" i="45"/>
  <c r="AX108" i="45"/>
  <c r="BF8" i="45"/>
  <c r="BN8" i="45"/>
  <c r="BH45" i="45"/>
  <c r="BM26" i="45"/>
  <c r="BF45" i="45"/>
  <c r="BH8" i="45"/>
  <c r="AW26" i="45"/>
  <c r="AU104" i="45"/>
  <c r="AW104" i="45"/>
  <c r="AW99" i="45"/>
  <c r="AU99" i="45"/>
  <c r="AV108" i="45"/>
  <c r="BH55" i="45"/>
  <c r="BH51" i="45"/>
  <c r="AO99" i="45"/>
  <c r="BG55" i="45"/>
  <c r="BG51" i="45"/>
  <c r="BK99" i="45"/>
  <c r="AN108" i="45"/>
  <c r="AN99" i="45"/>
  <c r="BL7" i="45"/>
  <c r="AM108" i="45"/>
  <c r="BN7" i="45"/>
  <c r="AW108" i="45"/>
  <c r="AU108" i="45"/>
  <c r="AO108" i="45"/>
  <c r="BF7" i="45"/>
  <c r="BK108" i="45"/>
  <c r="D29" i="33"/>
  <c r="D26" i="33"/>
  <c r="D20" i="33"/>
  <c r="G15" i="33"/>
  <c r="E15" i="33"/>
  <c r="F15" i="33"/>
  <c r="D24" i="33"/>
  <c r="D23" i="33"/>
  <c r="D22" i="33"/>
  <c r="D5" i="33"/>
  <c r="D31" i="33"/>
  <c r="E24" i="33"/>
  <c r="D15" i="33"/>
  <c r="F24" i="33"/>
  <c r="E20" i="33"/>
  <c r="AV104" i="45"/>
  <c r="AV99" i="45"/>
  <c r="E23" i="33"/>
  <c r="I15" i="33"/>
  <c r="E29" i="33"/>
  <c r="F5" i="33"/>
  <c r="H5" i="33"/>
  <c r="E5" i="33"/>
  <c r="G5" i="33"/>
  <c r="BM99" i="45"/>
  <c r="BM104" i="45"/>
  <c r="AP108" i="45"/>
  <c r="BM72" i="45"/>
  <c r="BM71" i="45"/>
  <c r="BM108" i="45"/>
  <c r="AD80" i="45"/>
  <c r="BJ80" i="45"/>
  <c r="AT81" i="45"/>
  <c r="AL81" i="45"/>
  <c r="AD73" i="45"/>
  <c r="BJ73" i="45"/>
  <c r="AL74" i="45"/>
  <c r="AT74" i="45"/>
  <c r="AD104" i="45"/>
  <c r="BJ104" i="45"/>
  <c r="AT105" i="45"/>
  <c r="AD76" i="45"/>
  <c r="BJ76" i="45"/>
  <c r="AL77" i="45"/>
  <c r="AT77" i="45"/>
  <c r="AT89" i="45"/>
  <c r="AD88" i="45"/>
  <c r="BJ88" i="45"/>
  <c r="AT58" i="45"/>
  <c r="AD57" i="45"/>
  <c r="BJ57" i="45"/>
  <c r="AT52" i="45"/>
  <c r="AD51" i="45"/>
  <c r="BJ51" i="45"/>
  <c r="AT100" i="45"/>
  <c r="AD99" i="45"/>
  <c r="BJ99" i="45"/>
  <c r="AL57" i="45"/>
  <c r="AT57" i="45"/>
  <c r="AD61" i="45"/>
  <c r="BJ61" i="45"/>
  <c r="AT62" i="45"/>
  <c r="BL77" i="45"/>
  <c r="BN77" i="45"/>
  <c r="BN74" i="45"/>
  <c r="BL74" i="45"/>
  <c r="BL100" i="45"/>
  <c r="BN100" i="45"/>
  <c r="AL51" i="45"/>
  <c r="AT51" i="45"/>
  <c r="AD45" i="45"/>
  <c r="AT76" i="45"/>
  <c r="AL76" i="45"/>
  <c r="AD72" i="45"/>
  <c r="BJ72" i="45"/>
  <c r="AT73" i="45"/>
  <c r="AL73" i="45"/>
  <c r="BN81" i="45"/>
  <c r="BL81" i="45"/>
  <c r="AT88" i="45"/>
  <c r="AL88" i="45"/>
  <c r="BN52" i="45"/>
  <c r="BL52" i="45"/>
  <c r="BN89" i="45"/>
  <c r="BL89" i="45"/>
  <c r="BN58" i="45"/>
  <c r="BL58" i="45"/>
  <c r="BL105" i="45"/>
  <c r="BN105" i="45"/>
  <c r="AL99" i="45"/>
  <c r="AT99" i="45"/>
  <c r="AL104" i="45"/>
  <c r="AT104" i="45"/>
  <c r="AL80" i="45"/>
  <c r="AT80" i="45"/>
  <c r="AD26" i="45"/>
  <c r="BJ26" i="45"/>
  <c r="BJ45" i="45"/>
  <c r="AL61" i="45"/>
  <c r="AT61" i="45"/>
  <c r="BL73" i="45"/>
  <c r="BN73" i="45"/>
  <c r="BL80" i="45"/>
  <c r="BN80" i="45"/>
  <c r="BL76" i="45"/>
  <c r="BN76" i="45"/>
  <c r="AD56" i="45"/>
  <c r="BJ56" i="45"/>
  <c r="AD71" i="45"/>
  <c r="BJ71" i="45"/>
  <c r="AL72" i="45"/>
  <c r="AT72" i="45"/>
  <c r="BN88" i="45"/>
  <c r="BL88" i="45"/>
  <c r="AL45" i="45"/>
  <c r="AT45" i="45"/>
  <c r="BL99" i="45"/>
  <c r="BN99" i="45"/>
  <c r="BN51" i="45"/>
  <c r="BL51" i="45"/>
  <c r="BN62" i="45"/>
  <c r="BL62" i="45"/>
  <c r="BL104" i="45"/>
  <c r="BN104" i="45"/>
  <c r="BN57" i="45"/>
  <c r="BL57" i="45"/>
  <c r="AL26" i="45"/>
  <c r="AT26" i="45"/>
  <c r="BL26" i="45"/>
  <c r="BN26" i="45"/>
  <c r="BL45" i="45"/>
  <c r="BN45" i="45"/>
  <c r="AL71" i="45"/>
  <c r="AT71" i="45"/>
  <c r="AD55" i="45"/>
  <c r="AL56" i="45"/>
  <c r="AT56" i="45"/>
  <c r="BL72" i="45"/>
  <c r="BN72" i="45"/>
  <c r="BL61" i="45"/>
  <c r="BN61" i="45"/>
  <c r="AD108" i="45"/>
  <c r="BJ108" i="45"/>
  <c r="BJ55" i="45"/>
  <c r="AL55" i="45"/>
  <c r="AT55" i="45"/>
  <c r="BL71" i="45"/>
  <c r="BN71" i="45"/>
  <c r="BN56" i="45"/>
  <c r="BL56" i="45"/>
  <c r="BL55" i="45"/>
  <c r="BN55" i="45"/>
  <c r="AL108" i="45"/>
  <c r="AT108" i="45"/>
  <c r="BL108" i="45"/>
  <c r="BN108" i="45"/>
  <c r="X72" i="45"/>
  <c r="X71" i="45"/>
  <c r="X108" i="45"/>
  <c r="BH76" i="45"/>
  <c r="BG76" i="45"/>
  <c r="BI76" i="45"/>
  <c r="BG80" i="45"/>
  <c r="BI80" i="45"/>
  <c r="BH80" i="45"/>
  <c r="BH88" i="45"/>
  <c r="BI88" i="45"/>
  <c r="BG88" i="45"/>
  <c r="BH99" i="45"/>
  <c r="BI99" i="45"/>
  <c r="BF99" i="45"/>
  <c r="BG99" i="45"/>
  <c r="BH104" i="45"/>
  <c r="BG104" i="45"/>
  <c r="BC72" i="45"/>
  <c r="BG72" i="45"/>
  <c r="BF104" i="45"/>
  <c r="BD72" i="45"/>
  <c r="BD71" i="45"/>
  <c r="BD108" i="45"/>
  <c r="BB72" i="45"/>
  <c r="BF72" i="45"/>
  <c r="BI104" i="45"/>
  <c r="BE72" i="45"/>
  <c r="BI72" i="45"/>
  <c r="BC71" i="45"/>
  <c r="BG71" i="45"/>
  <c r="BB71" i="45"/>
  <c r="BF71" i="45"/>
  <c r="BH72" i="45"/>
  <c r="BH71" i="45"/>
  <c r="BH108" i="45"/>
  <c r="BE71" i="45"/>
  <c r="BE108" i="45"/>
  <c r="BC108" i="45"/>
  <c r="BG108" i="45"/>
  <c r="BB108" i="45"/>
  <c r="BF108" i="45"/>
  <c r="BI71" i="45"/>
  <c r="BI108"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EMH</author>
    <author/>
  </authors>
  <commentList>
    <comment ref="Y5" authorId="0" shapeId="0" xr:uid="{84A68B2F-A1A7-4842-85F1-498C7B9B1550}">
      <text>
        <r>
          <rPr>
            <b/>
            <sz val="9"/>
            <color indexed="81"/>
            <rFont val="Tahoma"/>
            <family val="2"/>
          </rPr>
          <t>EMH:</t>
        </r>
        <r>
          <rPr>
            <sz val="9"/>
            <color indexed="81"/>
            <rFont val="Tahoma"/>
            <family val="2"/>
          </rPr>
          <t xml:space="preserve">
Valores en número entero aprobados por el Consejo directivo</t>
        </r>
      </text>
    </comment>
    <comment ref="Z5" authorId="0" shapeId="0" xr:uid="{3A08D28A-3CA9-4E28-9E15-3AB394233C3D}">
      <text>
        <r>
          <rPr>
            <b/>
            <sz val="9"/>
            <color indexed="81"/>
            <rFont val="Tahoma"/>
            <family val="2"/>
          </rPr>
          <t>EMH:</t>
        </r>
        <r>
          <rPr>
            <sz val="9"/>
            <color indexed="81"/>
            <rFont val="Tahoma"/>
            <family val="2"/>
          </rPr>
          <t xml:space="preserve">
Relacione aquí las ponderaciones o pesos dados a cada componente del Plan de Acción en la vigencia objeto del reporte, teniendo en cuenta que, si alguna actividad, proyecto o programa no tiene metas para la vigencia que se esta reportando, el valor que tiene asignado debe distribuirse de forma equitativa entre los componentes que si tienen meta.</t>
        </r>
      </text>
    </comment>
    <comment ref="A75" authorId="1" shapeId="0" xr:uid="{19E9C3DE-391F-4F5B-AA20-69DA2668D738}">
      <text>
        <r>
          <rPr>
            <sz val="11"/>
            <color theme="1"/>
            <rFont val="Arial"/>
            <family val="2"/>
          </rPr>
          <t>Anteriormente 8.1.1. Se ajusta nombre de la actividad dividiendo acciones. De esta manera se reporto en informe 2021, revisar.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JuanCarlosJr</author>
    <author/>
  </authors>
  <commentList>
    <comment ref="A1" authorId="0" shapeId="0" xr:uid="{26BE8BB9-F05F-4684-8356-E64A635E5BEF}">
      <text>
        <r>
          <rPr>
            <b/>
            <sz val="9"/>
            <color indexed="81"/>
            <rFont val="Tahoma"/>
            <family val="2"/>
          </rPr>
          <t>Usuario:</t>
        </r>
        <r>
          <rPr>
            <sz val="9"/>
            <color indexed="81"/>
            <rFont val="Tahoma"/>
            <family val="2"/>
          </rPr>
          <t xml:space="preserve">
Corresponde a la estructura reportada en el Anexo 1. Adicione tantas filas como requiera</t>
        </r>
      </text>
    </comment>
    <comment ref="C1" authorId="0" shapeId="0" xr:uid="{8CB1A8FE-DA44-45FE-87C7-57D01D2E8BDA}">
      <text>
        <r>
          <rPr>
            <b/>
            <sz val="9"/>
            <color indexed="81"/>
            <rFont val="Tahoma"/>
            <family val="2"/>
          </rPr>
          <t xml:space="preserve">Usuario: </t>
        </r>
        <r>
          <rPr>
            <sz val="9"/>
            <color indexed="81"/>
            <rFont val="Tahoma"/>
            <family val="2"/>
          </rPr>
          <t>Corresponde a las fuentes de financiación que de acuerdo al plan financiero destinan recursos para INVERSIÓN. 
ADICIONE tantas columnas como requiera.</t>
        </r>
        <r>
          <rPr>
            <sz val="9"/>
            <color indexed="81"/>
            <rFont val="Tahoma"/>
            <family val="2"/>
          </rPr>
          <t xml:space="preserve">
</t>
        </r>
      </text>
    </comment>
    <comment ref="W20" authorId="1" shapeId="0" xr:uid="{EF39C3F5-5DF8-4AFB-8092-EE4575773A28}">
      <text>
        <r>
          <rPr>
            <b/>
            <sz val="9"/>
            <color indexed="81"/>
            <rFont val="Tahoma"/>
            <family val="2"/>
          </rPr>
          <t>JuanCarlosJr:</t>
        </r>
        <r>
          <rPr>
            <sz val="9"/>
            <color indexed="81"/>
            <rFont val="Tahoma"/>
            <family val="2"/>
          </rPr>
          <t xml:space="preserve">
Proyecto ESTUFAS 2023</t>
        </r>
      </text>
    </comment>
    <comment ref="W26" authorId="1" shapeId="0" xr:uid="{31602BF9-FA97-4694-9741-CF1669795369}">
      <text>
        <r>
          <rPr>
            <b/>
            <sz val="9"/>
            <color indexed="81"/>
            <rFont val="Tahoma"/>
            <family val="2"/>
          </rPr>
          <t>JuanCarlosJr:</t>
        </r>
        <r>
          <rPr>
            <sz val="9"/>
            <color indexed="81"/>
            <rFont val="Tahoma"/>
            <family val="2"/>
          </rPr>
          <t xml:space="preserve">
Proyecto SGR
1 - Rio Cesar
2 - POMCA Rio Medio Cesae</t>
        </r>
      </text>
    </comment>
    <comment ref="BG48" authorId="1" shapeId="0" xr:uid="{C78AED4D-ED11-4903-9DF4-7E70E234C31C}">
      <text>
        <r>
          <rPr>
            <b/>
            <sz val="9"/>
            <color indexed="81"/>
            <rFont val="Tahoma"/>
            <family val="2"/>
          </rPr>
          <t>JuanCarlosJr:</t>
        </r>
        <r>
          <rPr>
            <sz val="9"/>
            <color indexed="81"/>
            <rFont val="Tahoma"/>
            <family val="2"/>
          </rPr>
          <t xml:space="preserve">
Proyecto
1 - SANTA ISANEL CONSULTORIA
Fuente: REGALIAS </t>
        </r>
      </text>
    </comment>
    <comment ref="BG50" authorId="1" shapeId="0" xr:uid="{5A8A15B3-071E-49B0-A730-435EADCB36D7}">
      <text>
        <r>
          <rPr>
            <b/>
            <sz val="9"/>
            <color indexed="81"/>
            <rFont val="Tahoma"/>
            <family val="2"/>
          </rPr>
          <t>JuanCarlosJr:</t>
        </r>
        <r>
          <rPr>
            <sz val="9"/>
            <color indexed="81"/>
            <rFont val="Tahoma"/>
            <family val="2"/>
          </rPr>
          <t xml:space="preserve">
Proyecto
1 - RIO SAN ALBERTO
Fuente: REGALIAS </t>
        </r>
      </text>
    </comment>
    <comment ref="BG59" authorId="1" shapeId="0" xr:uid="{794AF61F-82F6-4096-97B1-A0B283130E4A}">
      <text>
        <r>
          <rPr>
            <b/>
            <sz val="9"/>
            <color indexed="81"/>
            <rFont val="Tahoma"/>
            <family val="2"/>
          </rPr>
          <t>JuanCarlosJr:</t>
        </r>
        <r>
          <rPr>
            <sz val="9"/>
            <color indexed="81"/>
            <rFont val="Tahoma"/>
            <family val="2"/>
          </rPr>
          <t xml:space="preserve">
Proyecto CAVFFS
Fuente Regalias</t>
        </r>
      </text>
    </comment>
    <comment ref="BG60" authorId="1" shapeId="0" xr:uid="{A4E810AE-28CF-40CE-B83A-154EE9392E9A}">
      <text>
        <r>
          <rPr>
            <b/>
            <sz val="9"/>
            <color indexed="81"/>
            <rFont val="Tahoma"/>
            <family val="2"/>
          </rPr>
          <t xml:space="preserve">JuanCarlosJr:
</t>
        </r>
        <r>
          <rPr>
            <sz val="9"/>
            <color indexed="81"/>
            <rFont val="Tahoma"/>
            <family val="2"/>
          </rPr>
          <t xml:space="preserve">
Proyecto:
1 - Humedales del Sur
2 - Rio Magiriaimo
3 - Parque Perija
4 - Guadua
5 - Complejo Cenagoso Zapatosa
6 - Rio Calenturitas
7 - Garupal - Diluvio
FUENTE: Regalias</t>
        </r>
      </text>
    </comment>
    <comment ref="W65" authorId="1" shapeId="0" xr:uid="{B9941884-6EAB-4E31-81FE-71EF94A65F45}">
      <text>
        <r>
          <rPr>
            <b/>
            <sz val="9"/>
            <color indexed="81"/>
            <rFont val="Tahoma"/>
            <family val="2"/>
          </rPr>
          <t>JuanCarlosJr:</t>
        </r>
        <r>
          <rPr>
            <sz val="9"/>
            <color indexed="81"/>
            <rFont val="Tahoma"/>
            <family val="2"/>
          </rPr>
          <t xml:space="preserve">
Proyecto: 
1 - Manetnimiento Perija 1
2 - Perija 1</t>
        </r>
      </text>
    </comment>
    <comment ref="BG65" authorId="1" shapeId="0" xr:uid="{18F22734-45FE-469A-92BB-6BABF99C82A8}">
      <text>
        <r>
          <rPr>
            <b/>
            <sz val="9"/>
            <color indexed="81"/>
            <rFont val="Tahoma"/>
            <family val="2"/>
          </rPr>
          <t>JuanCarlosJr:</t>
        </r>
        <r>
          <rPr>
            <sz val="9"/>
            <color indexed="81"/>
            <rFont val="Tahoma"/>
            <family val="2"/>
          </rPr>
          <t xml:space="preserve">
Proyecto: 
1 - Manetnimiento Perija 1
2 - Perija 1</t>
        </r>
      </text>
    </comment>
    <comment ref="A70" authorId="2" shapeId="0" xr:uid="{7E74D256-23CC-47F0-B17B-255899FB8AB2}">
      <text>
        <r>
          <rPr>
            <sz val="11"/>
            <color theme="1"/>
            <rFont val="Arial"/>
            <family val="2"/>
          </rPr>
          <t>Anteriormente 8.1.1. Se ajusta nombre de la actividad dividiendo acciones. De esta manera se reporto en informe 2021, revisar.</t>
        </r>
      </text>
    </comment>
    <comment ref="BG97" authorId="1" shapeId="0" xr:uid="{44F41C64-6326-4D6A-A608-204D19C6F7DC}">
      <text>
        <r>
          <rPr>
            <b/>
            <sz val="9"/>
            <color indexed="81"/>
            <rFont val="Tahoma"/>
            <family val="2"/>
          </rPr>
          <t>JuanCarlosJr:</t>
        </r>
        <r>
          <rPr>
            <sz val="9"/>
            <color indexed="81"/>
            <rFont val="Tahoma"/>
            <family val="2"/>
          </rPr>
          <t xml:space="preserve">
Proyecto de Regalias:
MAPA DE RUIDOS.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C5" authorId="0" shapeId="0" xr:uid="{4C6B902C-5893-46A2-8746-FEF3A8F62E55}">
      <text>
        <r>
          <rPr>
            <b/>
            <sz val="9"/>
            <color indexed="81"/>
            <rFont val="Tahoma"/>
            <family val="2"/>
          </rPr>
          <t>Usuario:</t>
        </r>
        <r>
          <rPr>
            <sz val="9"/>
            <color indexed="81"/>
            <rFont val="Tahoma"/>
            <family val="2"/>
          </rPr>
          <t xml:space="preserve">
Datos tomados de Informe 2020</t>
        </r>
      </text>
    </comment>
    <comment ref="C17" authorId="0" shapeId="0" xr:uid="{962ED1F9-A3B0-4C64-AAD5-9259A41FA320}">
      <text>
        <r>
          <rPr>
            <b/>
            <sz val="9"/>
            <color indexed="81"/>
            <rFont val="Tahoma"/>
            <family val="2"/>
          </rPr>
          <t>Usuario:</t>
        </r>
        <r>
          <rPr>
            <sz val="9"/>
            <color indexed="81"/>
            <rFont val="Tahoma"/>
            <family val="2"/>
          </rPr>
          <t xml:space="preserve">
Copiar el dato reportado en la vigencia</t>
        </r>
      </text>
    </comment>
    <comment ref="D17" authorId="0" shapeId="0" xr:uid="{D198AC97-5945-4E56-B15F-775BE1E3350D}">
      <text>
        <r>
          <rPr>
            <b/>
            <sz val="9"/>
            <color indexed="81"/>
            <rFont val="Tahoma"/>
            <family val="2"/>
          </rPr>
          <t>Usuario:</t>
        </r>
        <r>
          <rPr>
            <sz val="9"/>
            <color indexed="81"/>
            <rFont val="Tahoma"/>
            <family val="2"/>
          </rPr>
          <t xml:space="preserve">
Copiar el dato reportado en la vigencia</t>
        </r>
      </text>
    </comment>
    <comment ref="C18" authorId="0" shapeId="0" xr:uid="{35A62F81-15D1-4B1F-BD36-7935A995B1D5}">
      <text>
        <r>
          <rPr>
            <b/>
            <sz val="9"/>
            <color indexed="81"/>
            <rFont val="Tahoma"/>
            <family val="2"/>
          </rPr>
          <t>Usuario:</t>
        </r>
        <r>
          <rPr>
            <sz val="9"/>
            <color indexed="81"/>
            <rFont val="Tahoma"/>
            <family val="2"/>
          </rPr>
          <t xml:space="preserve">
Copiar el dato reportado en la vigencia</t>
        </r>
      </text>
    </comment>
    <comment ref="D18" authorId="0" shapeId="0" xr:uid="{8FCD16E8-4C18-4D8E-8D09-8281954A5F8B}">
      <text>
        <r>
          <rPr>
            <b/>
            <sz val="9"/>
            <color indexed="81"/>
            <rFont val="Tahoma"/>
            <family val="2"/>
          </rPr>
          <t>Usuario:</t>
        </r>
        <r>
          <rPr>
            <sz val="9"/>
            <color indexed="81"/>
            <rFont val="Tahoma"/>
            <family val="2"/>
          </rPr>
          <t xml:space="preserve">
Copiar el dato reportado en la vigencia</t>
        </r>
      </text>
    </comment>
    <comment ref="C19" authorId="0" shapeId="0" xr:uid="{E770ECFD-35BC-4D00-83E9-E8BEB00D04C1}">
      <text>
        <r>
          <rPr>
            <b/>
            <sz val="9"/>
            <color indexed="81"/>
            <rFont val="Tahoma"/>
            <family val="2"/>
          </rPr>
          <t>Usuario:</t>
        </r>
        <r>
          <rPr>
            <sz val="9"/>
            <color indexed="81"/>
            <rFont val="Tahoma"/>
            <family val="2"/>
          </rPr>
          <t xml:space="preserve">
Copiar el dato reportado en la vigencia</t>
        </r>
      </text>
    </comment>
    <comment ref="D19" authorId="0" shapeId="0" xr:uid="{43837990-C014-41B2-8EDC-ABDC25FB310D}">
      <text>
        <r>
          <rPr>
            <b/>
            <sz val="9"/>
            <color indexed="81"/>
            <rFont val="Tahoma"/>
            <family val="2"/>
          </rPr>
          <t>Usuario:</t>
        </r>
        <r>
          <rPr>
            <sz val="9"/>
            <color indexed="81"/>
            <rFont val="Tahoma"/>
            <family val="2"/>
          </rPr>
          <t xml:space="preserve">
Copiar el dato reportado en la vigencia</t>
        </r>
      </text>
    </comment>
    <comment ref="C21" authorId="0" shapeId="0" xr:uid="{B8710C6E-D977-403C-B303-1BB8A71902F3}">
      <text>
        <r>
          <rPr>
            <b/>
            <sz val="9"/>
            <color indexed="81"/>
            <rFont val="Tahoma"/>
            <family val="2"/>
          </rPr>
          <t>Usuario:</t>
        </r>
        <r>
          <rPr>
            <sz val="9"/>
            <color indexed="81"/>
            <rFont val="Tahoma"/>
            <family val="2"/>
          </rPr>
          <t xml:space="preserve">
Copiar el dato reportado en la vigencia</t>
        </r>
      </text>
    </comment>
    <comment ref="D21" authorId="0" shapeId="0" xr:uid="{7D39013F-3D52-4EB3-90EF-5DE7F1E0B9EB}">
      <text>
        <r>
          <rPr>
            <b/>
            <sz val="9"/>
            <color indexed="81"/>
            <rFont val="Tahoma"/>
            <family val="2"/>
          </rPr>
          <t>Usuario:</t>
        </r>
        <r>
          <rPr>
            <sz val="9"/>
            <color indexed="81"/>
            <rFont val="Tahoma"/>
            <family val="2"/>
          </rPr>
          <t xml:space="preserve">
Copiar el dato reportado en la vigencia</t>
        </r>
      </text>
    </comment>
    <comment ref="C24" authorId="0" shapeId="0" xr:uid="{071C709F-3AF7-4B9C-810A-4CAA4AF45044}">
      <text>
        <r>
          <rPr>
            <b/>
            <sz val="9"/>
            <color indexed="81"/>
            <rFont val="Tahoma"/>
            <family val="2"/>
          </rPr>
          <t>Usuario:</t>
        </r>
        <r>
          <rPr>
            <sz val="9"/>
            <color indexed="81"/>
            <rFont val="Tahoma"/>
            <family val="2"/>
          </rPr>
          <t xml:space="preserve">
Copiar el dato reportado en la vigencia</t>
        </r>
      </text>
    </comment>
    <comment ref="D24" authorId="0" shapeId="0" xr:uid="{C579E99E-4C96-4EA1-9643-ACEC59CE398E}">
      <text>
        <r>
          <rPr>
            <b/>
            <sz val="9"/>
            <color indexed="81"/>
            <rFont val="Tahoma"/>
            <family val="2"/>
          </rPr>
          <t>Usuario:</t>
        </r>
        <r>
          <rPr>
            <sz val="9"/>
            <color indexed="81"/>
            <rFont val="Tahoma"/>
            <family val="2"/>
          </rPr>
          <t xml:space="preserve">
Copiar el dato reportado en la vigencia</t>
        </r>
      </text>
    </comment>
    <comment ref="C25" authorId="0" shapeId="0" xr:uid="{93A23677-020A-46DC-85BF-428B0DCFFF1B}">
      <text>
        <r>
          <rPr>
            <b/>
            <sz val="9"/>
            <color indexed="81"/>
            <rFont val="Tahoma"/>
            <family val="2"/>
          </rPr>
          <t>Usuario:</t>
        </r>
        <r>
          <rPr>
            <sz val="9"/>
            <color indexed="81"/>
            <rFont val="Tahoma"/>
            <family val="2"/>
          </rPr>
          <t xml:space="preserve">
Copiar el dato reportado en la vigencia</t>
        </r>
      </text>
    </comment>
    <comment ref="D25" authorId="0" shapeId="0" xr:uid="{F0F90C13-CF1D-4BF7-9AA3-0BB44988C048}">
      <text>
        <r>
          <rPr>
            <b/>
            <sz val="9"/>
            <color indexed="81"/>
            <rFont val="Tahoma"/>
            <family val="2"/>
          </rPr>
          <t>Usuario:</t>
        </r>
        <r>
          <rPr>
            <sz val="9"/>
            <color indexed="81"/>
            <rFont val="Tahoma"/>
            <family val="2"/>
          </rPr>
          <t xml:space="preserve">
Copiar el dato reportado en la vigencia</t>
        </r>
      </text>
    </comment>
    <comment ref="C26" authorId="0" shapeId="0" xr:uid="{F1D877F0-38F2-4406-8E59-237DA226A237}">
      <text>
        <r>
          <rPr>
            <b/>
            <sz val="9"/>
            <color indexed="81"/>
            <rFont val="Tahoma"/>
            <family val="2"/>
          </rPr>
          <t>Usuario:</t>
        </r>
        <r>
          <rPr>
            <sz val="9"/>
            <color indexed="81"/>
            <rFont val="Tahoma"/>
            <family val="2"/>
          </rPr>
          <t xml:space="preserve">
Copiar el dato reportado en la vigencia</t>
        </r>
      </text>
    </comment>
    <comment ref="D26" authorId="0" shapeId="0" xr:uid="{913B6B80-D21E-4B32-B0C3-FA4171A57827}">
      <text>
        <r>
          <rPr>
            <b/>
            <sz val="9"/>
            <color indexed="81"/>
            <rFont val="Tahoma"/>
            <family val="2"/>
          </rPr>
          <t>Usuario:</t>
        </r>
        <r>
          <rPr>
            <sz val="9"/>
            <color indexed="81"/>
            <rFont val="Tahoma"/>
            <family val="2"/>
          </rPr>
          <t xml:space="preserve">
Copiar el dato reportado en la vigencia</t>
        </r>
      </text>
    </comment>
    <comment ref="C27" authorId="0" shapeId="0" xr:uid="{1CBD48BB-D922-4D95-8918-5CCBDA7C1AC7}">
      <text>
        <r>
          <rPr>
            <b/>
            <sz val="9"/>
            <color indexed="81"/>
            <rFont val="Tahoma"/>
            <family val="2"/>
          </rPr>
          <t>Usuario:</t>
        </r>
        <r>
          <rPr>
            <sz val="9"/>
            <color indexed="81"/>
            <rFont val="Tahoma"/>
            <family val="2"/>
          </rPr>
          <t xml:space="preserve">
Copiar el dato reportado en la vigencia</t>
        </r>
      </text>
    </comment>
    <comment ref="D27" authorId="0" shapeId="0" xr:uid="{4579D560-45F8-4BFF-9477-45C7FAD1CBC4}">
      <text>
        <r>
          <rPr>
            <b/>
            <sz val="9"/>
            <color indexed="81"/>
            <rFont val="Tahoma"/>
            <family val="2"/>
          </rPr>
          <t>Usuario:</t>
        </r>
        <r>
          <rPr>
            <sz val="9"/>
            <color indexed="81"/>
            <rFont val="Tahoma"/>
            <family val="2"/>
          </rPr>
          <t xml:space="preserve">
Copiar el dato reportado en la vigencia</t>
        </r>
      </text>
    </comment>
    <comment ref="C30" authorId="0" shapeId="0" xr:uid="{502BE9E6-9564-4785-B329-F1C9EADD2EAB}">
      <text>
        <r>
          <rPr>
            <b/>
            <sz val="9"/>
            <color indexed="81"/>
            <rFont val="Tahoma"/>
            <family val="2"/>
          </rPr>
          <t>Usuario:</t>
        </r>
        <r>
          <rPr>
            <sz val="9"/>
            <color indexed="81"/>
            <rFont val="Tahoma"/>
            <family val="2"/>
          </rPr>
          <t xml:space="preserve">
Copiar el dato reportado en la vigencia</t>
        </r>
      </text>
    </comment>
    <comment ref="D30" authorId="0" shapeId="0" xr:uid="{5993A2AA-9249-4079-9DC7-4852D91E8DC8}">
      <text>
        <r>
          <rPr>
            <b/>
            <sz val="9"/>
            <color indexed="81"/>
            <rFont val="Tahoma"/>
            <family val="2"/>
          </rPr>
          <t>Usuario:</t>
        </r>
        <r>
          <rPr>
            <sz val="9"/>
            <color indexed="81"/>
            <rFont val="Tahoma"/>
            <family val="2"/>
          </rPr>
          <t xml:space="preserve">
Copiar el dato reportado en la vigencia</t>
        </r>
      </text>
    </comment>
    <comment ref="C31" authorId="0" shapeId="0" xr:uid="{A4F2AF77-43FF-41CC-8C6E-250BFDF051F2}">
      <text>
        <r>
          <rPr>
            <b/>
            <sz val="9"/>
            <color indexed="81"/>
            <rFont val="Tahoma"/>
            <family val="2"/>
          </rPr>
          <t>Usuario:</t>
        </r>
        <r>
          <rPr>
            <sz val="9"/>
            <color indexed="81"/>
            <rFont val="Tahoma"/>
            <family val="2"/>
          </rPr>
          <t xml:space="preserve">
Copiar el dato reportado en la vigencia</t>
        </r>
      </text>
    </comment>
    <comment ref="D31" authorId="0" shapeId="0" xr:uid="{8B0BC49B-4EE9-4B47-9CBF-C5AF8061FCC6}">
      <text>
        <r>
          <rPr>
            <b/>
            <sz val="9"/>
            <color indexed="81"/>
            <rFont val="Tahoma"/>
            <family val="2"/>
          </rPr>
          <t>Usuario:</t>
        </r>
        <r>
          <rPr>
            <sz val="9"/>
            <color indexed="81"/>
            <rFont val="Tahoma"/>
            <family val="2"/>
          </rPr>
          <t xml:space="preserve">
Copiar el dato reportado en la vigencia</t>
        </r>
      </text>
    </comment>
    <comment ref="C32" authorId="0" shapeId="0" xr:uid="{7CC0A3F8-9993-4199-BB2F-B90104D6B874}">
      <text>
        <r>
          <rPr>
            <b/>
            <sz val="9"/>
            <color indexed="81"/>
            <rFont val="Tahoma"/>
            <family val="2"/>
          </rPr>
          <t>Usuario:</t>
        </r>
        <r>
          <rPr>
            <sz val="9"/>
            <color indexed="81"/>
            <rFont val="Tahoma"/>
            <family val="2"/>
          </rPr>
          <t xml:space="preserve">
Copiar el dato reportado en la vigencia</t>
        </r>
      </text>
    </comment>
    <comment ref="D32" authorId="0" shapeId="0" xr:uid="{BE5D1E75-72FA-49EB-805A-F9D2BF44B0EE}">
      <text>
        <r>
          <rPr>
            <b/>
            <sz val="9"/>
            <color indexed="81"/>
            <rFont val="Tahoma"/>
            <family val="2"/>
          </rPr>
          <t>Usuario:</t>
        </r>
        <r>
          <rPr>
            <sz val="9"/>
            <color indexed="81"/>
            <rFont val="Tahoma"/>
            <family val="2"/>
          </rPr>
          <t xml:space="preserve">
Copiar el dato reportado en la vigencia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EMH</author>
    <author>Usuario</author>
  </authors>
  <commentList>
    <comment ref="J24" authorId="0" shapeId="0" xr:uid="{24D88A1D-C7A3-4829-8264-F2D6F1126BA6}">
      <text>
        <r>
          <rPr>
            <b/>
            <sz val="9"/>
            <color indexed="81"/>
            <rFont val="Tahoma"/>
            <family val="2"/>
          </rPr>
          <t>EMH:</t>
        </r>
        <r>
          <rPr>
            <sz val="9"/>
            <color indexed="81"/>
            <rFont val="Tahoma"/>
            <family val="2"/>
          </rPr>
          <t xml:space="preserve">
Si tienen pomcas compartidos indicar en esta columna cuales y con quien.</t>
        </r>
      </text>
    </comment>
    <comment ref="E95" authorId="1" shapeId="0" xr:uid="{F7FDE2C0-5A3B-4EC6-9B45-100991B2E6CB}">
      <text>
        <r>
          <rPr>
            <b/>
            <sz val="9"/>
            <color indexed="81"/>
            <rFont val="Tahoma"/>
            <family val="2"/>
          </rPr>
          <t>Usuario:</t>
        </r>
        <r>
          <rPr>
            <sz val="9"/>
            <color indexed="81"/>
            <rFont val="Tahoma"/>
            <family val="2"/>
          </rPr>
          <t xml:space="preserve">
Asigne un valor de ponderación para cada tipo de instrumento contemplado en la vigencia objeto de reporte. La suma debe ser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EMH</author>
  </authors>
  <commentList>
    <comment ref="D16" authorId="0" shapeId="0" xr:uid="{DBF7A422-1EC0-4C94-ADA7-21D6D21E5AE4}">
      <text>
        <r>
          <rPr>
            <b/>
            <sz val="9"/>
            <color indexed="81"/>
            <rFont val="Tahoma"/>
            <family val="2"/>
          </rPr>
          <t>EMH:</t>
        </r>
        <r>
          <rPr>
            <sz val="9"/>
            <color indexed="81"/>
            <rFont val="Tahoma"/>
            <family val="2"/>
          </rPr>
          <t xml:space="preserve">
Vigencia inmediatamente anterior: 31/12/2023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EMH</author>
  </authors>
  <commentList>
    <comment ref="D16" authorId="0" shapeId="0" xr:uid="{66FD2B3B-90DA-4F91-96DF-992CA69A8CE8}">
      <text>
        <r>
          <rPr>
            <b/>
            <sz val="9"/>
            <color indexed="81"/>
            <rFont val="Tahoma"/>
            <family val="2"/>
          </rPr>
          <t>EMH:</t>
        </r>
        <r>
          <rPr>
            <sz val="9"/>
            <color indexed="81"/>
            <rFont val="Tahoma"/>
            <family val="2"/>
          </rPr>
          <t xml:space="preserve">
vigencia inmediatamente anterior: 31/12/2023</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ANA MEJIA</author>
  </authors>
  <commentList>
    <comment ref="E18" authorId="0" shapeId="0" xr:uid="{21D073E8-016C-4A79-996B-89EEC31530D8}">
      <text>
        <r>
          <rPr>
            <b/>
            <sz val="9"/>
            <color indexed="81"/>
            <rFont val="Tahoma"/>
            <family val="2"/>
          </rPr>
          <t>ANA MEJIA:</t>
        </r>
        <r>
          <rPr>
            <sz val="9"/>
            <color indexed="81"/>
            <rFont val="Tahoma"/>
            <family val="2"/>
          </rPr>
          <t xml:space="preserve">
Consultar con Roberto Peña</t>
        </r>
      </text>
    </comment>
  </commentList>
</comments>
</file>

<file path=xl/sharedStrings.xml><?xml version="1.0" encoding="utf-8"?>
<sst xmlns="http://schemas.openxmlformats.org/spreadsheetml/2006/main" count="7461" uniqueCount="2432">
  <si>
    <t>3201 – Fortalecimiento del desempeño ambiental de los sectores productivos.</t>
  </si>
  <si>
    <t>Porcentaje de avance en la formulación y/o ajuste de los Planes de Ordenación y Manejo de Cuencas (POMCAS), Planes de Manejo de Acuíferos (PMA) y Planes de Manejo de Microcuencas (PMM)</t>
  </si>
  <si>
    <t>3202 – Conservación de la biodiversidad y sus servicios ecosistémicos.</t>
  </si>
  <si>
    <t>Porcentaje de cuerpos de agua con planes de ordenamiento del recurso hídrico (PORH) adoptados</t>
  </si>
  <si>
    <t>3203 – Gestión integral del recurso hídrico.</t>
  </si>
  <si>
    <t>Porcentaje de Planes de Saneamiento y Manejo de Vertimientos (PSMV) con seguimiento</t>
  </si>
  <si>
    <t>3204 – Gestión de la información y el conocimiento ambiental.</t>
  </si>
  <si>
    <t>Porcentaje de cuerpos de agua con reglamentación del uso de las aguas</t>
  </si>
  <si>
    <t>3205 – Ordenamiento ambiental territorial.</t>
  </si>
  <si>
    <t>Porcentaje de Programas de Uso Eficiente y Ahorro del Agua (PUEAA) con seguimiento</t>
  </si>
  <si>
    <t>3206 – Gestión del cambio climático para un desarrollo bajo en carbono y resiliente al clima.</t>
  </si>
  <si>
    <t>Porcentaje de Planes de Ordenación y Manejo de Cuencas (POMCAS), Planes de Manejo de Acuíferos (PMA) y Planes de Manejo de Microcuencas (PMM) en ejecución</t>
  </si>
  <si>
    <t>3207 – Gestión integral de mares, costas y recursos acuáticos.</t>
  </si>
  <si>
    <t>Porcentaje de entes territoriales asesorados en la incorporación, planificación y ejecución de acciones relacionadas con cambio climático en el marco de los instrumentos de planificación territorial</t>
  </si>
  <si>
    <t>3208 – Educación Ambiental.</t>
  </si>
  <si>
    <t>Porcentaje de suelos degradados en recuperación o rehabilitación</t>
  </si>
  <si>
    <t>3299 – Fortalecimiento de la gestión y dirección del Sector Ambiente y Desarrollo Sostenible.</t>
  </si>
  <si>
    <t>Porcentaje de la superficie de áreas protegidas regionales declaradas, homologadas o recategorizadas, inscritas en el RUNAP</t>
  </si>
  <si>
    <t>No Aplica</t>
  </si>
  <si>
    <t>Porcentaje de páramos delimitados por el MADS, con zonificación y régimen de usos adoptados por la CAR</t>
  </si>
  <si>
    <t>Porcentaje de avance en la formulación del Plan de Ordenación Forestal</t>
  </si>
  <si>
    <t>Porcentaje de áreas protegidas con planes de manejo en ejecución</t>
  </si>
  <si>
    <t>Porcentaje de especies amenazadas con medidas de conservación y manejo en ejecución</t>
  </si>
  <si>
    <t>Porcentaje de especies invasoras con medidas de prevención, control y manejo en ejecución</t>
  </si>
  <si>
    <t>Porcentaje de áreas de ecosistemas en restauración, rehabilitación y reforestación</t>
  </si>
  <si>
    <t>Implementación de acciones en manejo integrado de zonas costeras</t>
  </si>
  <si>
    <t>Porcentaje de Planes de Gestión Integral de Residuos Sólidos (PGIRS) con seguimiento a metas de aprovechamiento</t>
  </si>
  <si>
    <t>Porcentaje de sectores con acompañamiento para la reconversión hacia sistemas sostenibles de producción</t>
  </si>
  <si>
    <t>Porcentaje de ejecución de acciones en Gestión Ambiental Urbana</t>
  </si>
  <si>
    <t>Implementación del Programa Regional de Negocios Verdes por la autoridad ambiental</t>
  </si>
  <si>
    <t>Tiempo promedio de trámite para la resolución de autorizaciones ambientales otorgadas por la corporación</t>
  </si>
  <si>
    <t>Porcentaje de autorizaciones ambientales con seguimiento</t>
  </si>
  <si>
    <t>Porcentaje de Procesos Sancionatorios Resueltos</t>
  </si>
  <si>
    <t>Porcentaje de municipios asesorados o asistidos en la inclusión del componente ambiental en los procesos de planificación y ordenamiento territorial, con énfasis en la incorporación de las determinantes ambientales para la revisión y ajuste de los POT</t>
  </si>
  <si>
    <t>Porcentaje de redes y estaciones de monitoreo en operación</t>
  </si>
  <si>
    <t>Porcentaje de actualización y reporte de la información en el SIAC</t>
  </si>
  <si>
    <t>Ejecución de Acciones en Educación Ambiental</t>
  </si>
  <si>
    <t xml:space="preserve"> INFORME DE EJECUCION PRESUPUESTAL DE INGRESOS </t>
  </si>
  <si>
    <t>CORPORACIÓN AUTÓMA REGIONAL DE XXXXX</t>
  </si>
  <si>
    <t xml:space="preserve">RECURSOS VIGENCIA :  </t>
  </si>
  <si>
    <t>(1)
ESTRUCTURA RENTISTICA</t>
  </si>
  <si>
    <t>(2)
CONCEPTO</t>
  </si>
  <si>
    <t>(3)
PROYECTADO PLAN FINANCIERO</t>
  </si>
  <si>
    <t>MODIFICACIONES</t>
  </si>
  <si>
    <t xml:space="preserve">(6)
APROPIACIÓN FINAL
(3+4-5)
</t>
  </si>
  <si>
    <t>DISTRIBUCIÓN</t>
  </si>
  <si>
    <t>(11)
DERECHOS POR COBRAR</t>
  </si>
  <si>
    <t>(12)
RECAUDO
EFECTIVO</t>
  </si>
  <si>
    <t>(13)
% DE RECAUDO</t>
  </si>
  <si>
    <t>(14)
OBSERVACIONES</t>
  </si>
  <si>
    <t>DEFINICIÓN</t>
  </si>
  <si>
    <t>SOPORTE LEGAL</t>
  </si>
  <si>
    <t>NIVEL ESTRUCTURAL</t>
  </si>
  <si>
    <t>NIVEL RENTISTICO</t>
  </si>
  <si>
    <t>SUBNIVEL RENTISTICO</t>
  </si>
  <si>
    <t>CONCEPTO</t>
  </si>
  <si>
    <t>NIVEL 1</t>
  </si>
  <si>
    <t>NIVEL 2</t>
  </si>
  <si>
    <t>NIVEL 3</t>
  </si>
  <si>
    <t>NIVEL 4</t>
  </si>
  <si>
    <t>NIVEL 5</t>
  </si>
  <si>
    <t>(4)
ADICIÓN</t>
  </si>
  <si>
    <t>(5)
REDUCCIÓN</t>
  </si>
  <si>
    <t>(7)
FUNCIONAMIENTO</t>
  </si>
  <si>
    <t>(8)
INVERSIÓN</t>
  </si>
  <si>
    <t>(9)
FCA</t>
  </si>
  <si>
    <t>(10)
SERVICIO A LA DEUDA</t>
  </si>
  <si>
    <t>1</t>
  </si>
  <si>
    <t>Ingresos</t>
  </si>
  <si>
    <t>Los ingresos son recursos monetarios recaudados en una vigencia fiscal por quienes corresponda administrarlos según la ley.
Se consideran ingresos las entradas de caja efectivas, en moneda nacional, que incrementan las disponibilidades para el gasto. Así, se deben cumplir las siguientes condiciones para reconocer una transacción como ingreso:
1.	Afectación efectiva de caja. Los ingresos se reconocen bajo el principio de caja. Es decir, cuando hay desembolso de los recursos a favor de las entidades beneficiarias.
2.	La afectación de caja se produce en moneda nacional.
3.	Respaldo de un gasto. No se reconocen como ingresos aquellas entradas efectivas de caja que no están habilitadas para realizar gastos.</t>
  </si>
  <si>
    <t>-</t>
  </si>
  <si>
    <t>01</t>
  </si>
  <si>
    <t>Ingresos Recursos Propios</t>
  </si>
  <si>
    <t>Ingresos Corrientes</t>
  </si>
  <si>
    <t>Se reconocen por su regularidad, además se caracterizan porque: i) su base de cálculo y su trayectoria histórica permiten estimar con cierto grado de certidumbre el volumen de ingresos; ii) si bien pueden constituir una base aproximada, esta sirve de referente para la elaboración del presupuesto anual.</t>
  </si>
  <si>
    <t>Ingresos tributarios</t>
  </si>
  <si>
    <t>Son aquellos establecidos como impuestos y estampillas por la ley. Estos representan la obligación de hacer un pago, sin que exista una retribución particular por parte del Estado.</t>
  </si>
  <si>
    <t>Corte Constitucional, Sentencia C-545/1994.</t>
  </si>
  <si>
    <t>Impuestos directos</t>
  </si>
  <si>
    <t>Son aquellos que gravan directamente los ingresos o el patrimonio de las personas naturales y jurídicas, es decir, recaen sobre la capacidad económica de los sujetos. En los impuestos directos se identifica al contribuyente respectivo, y se conoce su capacidad de pago,  mediante las informaciones relativas a sus rentas y patrimonio.</t>
  </si>
  <si>
    <t>Corte Constitucional, Sentencia C- 426/2005.</t>
  </si>
  <si>
    <t>Sobretasa ambiental - Peajes</t>
  </si>
  <si>
    <t xml:space="preserve">la Sobretasa Ambiental se creó como un mecanismo de compensación a la afectación y deterioro derivado de las vías del orden nacional actualmente construidas y que llegaren a construirse, próximas o situadas en Areas de Conservación y Protección Municipal, sitios de Ramsar o Humedales de Importancia Internacional definidos en la Ley 357 de 1997 y Reservas de Biosfera, así como sus respectivas Zonas de Amortiguación de conformidad con los criterios técnicos que para el efecto establezca el Ministerio de Ambiente, Vivienda y Desarrollo Territorial. </t>
  </si>
  <si>
    <t>Ley 981 de 2005 modificada por Ley 1718 de 2014 y Ley 1753 de 2015</t>
  </si>
  <si>
    <t>Sobretasa ambiental - Peajes (vigencia actual)</t>
  </si>
  <si>
    <t>02</t>
  </si>
  <si>
    <t>Sobretasa ambiental - Peajes (vigencia anterior)</t>
  </si>
  <si>
    <t>03</t>
  </si>
  <si>
    <t>Sobretasa ambiental - Peajes (Rendimientos Financieros)</t>
  </si>
  <si>
    <t>04</t>
  </si>
  <si>
    <t>Sobretasa ambiental - Peajes (Intereses por mora)</t>
  </si>
  <si>
    <t>05</t>
  </si>
  <si>
    <t>Sobretasa ambiental - Peajes (Recuperación de Cartera)</t>
  </si>
  <si>
    <t>06</t>
  </si>
  <si>
    <t>Sobretasa ambiental - Peajes (Superhavit - Mayor recaudo)</t>
  </si>
  <si>
    <t>07</t>
  </si>
  <si>
    <t>Sobretasa ambiental - Peajes (Superhavit -Recursos no ejecutados)</t>
  </si>
  <si>
    <t>08</t>
  </si>
  <si>
    <t>Participación de intereses de mora sobre la sobretasa ambiental-peajes</t>
  </si>
  <si>
    <t>Son las transferencias de recursos de los intereses recaudados por la mora en el pago de la sobretasa ambiental. Los intereses que se causen por mora en el pago del Impuesto Predial Unificado, también se causan para el pago y transferencia de la sobretasa ambiental.</t>
  </si>
  <si>
    <t>Decreto Reglamentario 1339 de 1994, artículo 2.</t>
  </si>
  <si>
    <t>Participación de intereses de mora sobre la sobretasa ambiental-peajes (vigencia actual)</t>
  </si>
  <si>
    <t>Participación de intereses de mora sobre la sobretasa ambiental-peajes (vigencia anterior)</t>
  </si>
  <si>
    <t>Participación de intereses de mora sobre la sobretasa ambiental-peajes  (Rendimientos Financieros)</t>
  </si>
  <si>
    <t>Participación de intereses de mora sobre la sobretasa ambiental-peajes  (Intereses por mora)</t>
  </si>
  <si>
    <t>Participación de intereses de mora sobre la sobretasa ambiental-peajes  (Recuperación de Cartera)</t>
  </si>
  <si>
    <t>Participación de intereses de mora sobre la sobretasa ambiental-peajes  (Superhavit - Mayor recaudo)</t>
  </si>
  <si>
    <t>Participación de intereses de mora sobre la sobretasa ambiental-peajes  (Superhavit -Recursos no ejecutados)</t>
  </si>
  <si>
    <t>Participación de la sobretasa ambiental - Corporaciones Autónomas Regionales</t>
  </si>
  <si>
    <t xml:space="preserve">Son las transferencias de recursos de la sobretasa ambiental para las Corporaciones Autónomas Regionales (Art. 1. Decreto 1339 de 1994).  De acuerdo con el Artículo 44 de la Ley 99 de 1993, el giro de estos recursos debe realizarse de forma trimestral y excepcionalmente, por anualidades antes del 30 de marzo de cada año siguiente al periodo de recaudo. </t>
  </si>
  <si>
    <t>Ley  99 de 1993, art. 44; Decreto 1339 de 1994, art.1</t>
  </si>
  <si>
    <t>Participación de la sobretasa ambiental - Corporaciones Autónomas Regionales (vigencia actual)</t>
  </si>
  <si>
    <t>Participación de la sobretasa ambiental - Corporaciones Autónomas Regionales (vigencia anterior)</t>
  </si>
  <si>
    <t>Participación de la sobretasa ambiental - Corporaciones Autónomas Regionales (Rendimientos Financieros)</t>
  </si>
  <si>
    <t>Participación de la sobretasa ambiental - Corporaciones Autónomas Regionales (Intereses por mora)</t>
  </si>
  <si>
    <t>Participación de la sobretasa ambiental - Corporaciones Autónomas Regionales (Recuperación de Cartera)</t>
  </si>
  <si>
    <t>Participación de la sobretasa ambiental - Corporaciones Autónomas Regionales (Superhavit - Mayor recaudo)</t>
  </si>
  <si>
    <t>Participación de la sobretasa ambiental - Corporaciones Autónomas Regionales (Superhavit -Recursos no ejecutados)</t>
  </si>
  <si>
    <t>Participación del porcentaje ambiental - Corporaciones Autónomas Regionales</t>
  </si>
  <si>
    <t>Participación del porcentaje ambiental - Corporaciones Autónomas Regionales (vigencia actual)</t>
  </si>
  <si>
    <t>Participación del porcentaje ambiental - Corporaciones Autónomas Regionales (vigencia anterior)</t>
  </si>
  <si>
    <t>Participación del porcentaje ambiental - Corporaciones Autónomas Regionales  (Rendimientos Financieros)</t>
  </si>
  <si>
    <t>Participación del porcentaje ambiental - Corporaciones Autónomas Regionales  (Intereses por mora)</t>
  </si>
  <si>
    <t>Participación del porcentaje ambiental - Corporaciones Autónomas Regionales  (Recuperación de Cartera)</t>
  </si>
  <si>
    <t>Participación del porcentaje ambiental - Corporaciones Autónomas Regionales  (Superhavit - Mayor recaudo)</t>
  </si>
  <si>
    <t>Participación del porcentaje ambiental - Corporaciones Autónomas Regionales  (Superhavit -Recursos no ejecutados)</t>
  </si>
  <si>
    <t>Participación de intereses de mora sobre la sobretasa ambiental</t>
  </si>
  <si>
    <t>Participación de intereses de mora sobre la sobretasa ambiental (vigencia actual)</t>
  </si>
  <si>
    <t>Participación de intereses de mora sobre la sobretasa ambiental (vigencia anterior)</t>
  </si>
  <si>
    <t>Participación de intereses de mora sobre la sobretasa ambiental  (Rendimientos Financieros)</t>
  </si>
  <si>
    <t>Participación de intereses de mora sobre la sobretasa ambiental  (Intereses por mora)</t>
  </si>
  <si>
    <t>Participación de intereses de mora sobre la sobretasa ambiental  (Recuperación de Cartera)</t>
  </si>
  <si>
    <t>Participación de intereses de mora sobre la sobretasa ambiental  (Superhavit - Mayor recaudo)</t>
  </si>
  <si>
    <t>Participación de intereses de mora sobre la sobretasa ambiental  (Superhavit -Recursos no ejecutados)</t>
  </si>
  <si>
    <t>Participación de intereses de mora sobre el porcentaje ambiental</t>
  </si>
  <si>
    <t>Participación de intereses de mora sobre el porcentaje ambiental (vigencia actual)</t>
  </si>
  <si>
    <t>Participación de intereses de mora sobre el porcentaje ambiental (vigencia anterior)</t>
  </si>
  <si>
    <t>Participación de intereses de mora sobre el porcentaje ambiental  (Rendimientos Financieros)</t>
  </si>
  <si>
    <t>Participación de intereses de mora sobre el porcentaje ambiental  (Intereses por mora)</t>
  </si>
  <si>
    <t>Participación de intereses de mora sobre el porcentaje ambiental  (Recuperación de Cartera)</t>
  </si>
  <si>
    <t>Participación de intereses de mora sobre el porcentaje ambiental  (Superhavit - Mayor recaudo)</t>
  </si>
  <si>
    <t>Participación de intereses de mora sobre el porcentaje ambiental  (Superhavit -Recursos no ejecutados)</t>
  </si>
  <si>
    <t>Ingresos no tributarios</t>
  </si>
  <si>
    <t>Son los ingresos corrientes que por ley no están definidos como impuestos y comprenderán las tasas y las multas. Los ingresos no tributarios se clasifican en: 
1) Contribuciones 
2) Tasas y derechos administrativos 
3) Multas, sanciones e intereses de mora 
4) Derechos económicos por uso de recursos naturales 
5) Venta de bienes y servicios 
6) Transferencias corrientes
7) Participación y derechos de monopolio</t>
  </si>
  <si>
    <t>Decreto 111 de 1996, art. 27</t>
  </si>
  <si>
    <t>Contribuciones</t>
  </si>
  <si>
    <t xml:space="preserve">Las contribuciones son “las cargas fiscales al patrimonio particular, sustentadas en la potestad tributaria del Estado”. Las contribuciones corresponden a “la recuperación de los costos de los servicios que les presten o participación en los beneficios que les proporcionen”. El principio de legalidad del tributo se extiende a las contribuciones, razón por cual y como establece la Constitución Política, el método de definición de costos y beneficios y su forma de reparto deben ser definidos por Ley. Asimismo, la ley, ordenanza o acuerdo, debe definir los sujetos pasivos y activos, y la base gravable aplicable a la contribución. Sin embargo, la ley puede dar potestad administrativa a las autoridades para que fijen la tarifa que cobren a los contribuyentes. La unica excepción al principio de legalidad del tributo son las contribuciones especiales, las cuales no están definidas como contribuciones, pero de acuerdo con sentencia emitida por la Corte Constitucional, se ajusta a su definición.
</t>
  </si>
  <si>
    <t xml:space="preserve">Corte Constitucional, Sentencia C-545/1994.
Constitución política Art. 338 </t>
  </si>
  <si>
    <t>Contribuciones diversas</t>
  </si>
  <si>
    <t>Las contribuciones diversas comprenden los ingresos por concepto de las demás contribuciones que no se clasifican dentro de las demás categorías de contribuciones descritas anteriormente, es decir, a las contribuciones sociales 1-01-02-01-001, contribuciones inherentes a la nómina 1-01-02-01-002, contribuciones especiales 1-01-02-01-003, contribuciones parafiscales, agropecuarias y pesqueras 1-01-02-01-004.</t>
  </si>
  <si>
    <t>Contribución sector eléctrico</t>
  </si>
  <si>
    <t>Son los recursos por contribución del sector eléctrico a las que se refiere el artículo 45 de la Ley 99 de 1993. De acuerdo con este artículo, las empresas generadoras de energía hidroeléctrica cuya potencia nominal supera los 10.000 kilovatios, deben transferir el 6% de las ventas brutas de energia por generación propia de acuerdo con las distribuciones establecidas por la ley. En el caso de centrales térmicas el porcentaje de los recursos a transferir es del 4%. Los destinatarios de estos recursos son: las Corporaciones Autonómas Regionales o los Parques Nacionales Naturales que tengan jurisdicción en el área donde se encuentra localizada la cuenca hidrográfica y del área de influencia del proyecto o el área donde este ubicada la central térmica; y los municipios y distritos localizados de la cuenca que surte el embalse de las generadoras de energía hidroeléctrica o el municipio donde este ubicada la central térmica. COMPLEMENTAR PLAN DE DESARROLLO ART.289 DE 2019</t>
  </si>
  <si>
    <t xml:space="preserve"> Ley 99 de 1993, art. 45</t>
  </si>
  <si>
    <t>Contribución sector eléctrico - Hidroeléctrica</t>
  </si>
  <si>
    <t>Contribución sector eléctrico - Hidroeléctrica (vigencia actual)</t>
  </si>
  <si>
    <t>Contribución sector eléctrico - Hidroeléctrica (vigencia anterior)</t>
  </si>
  <si>
    <t>Contribución sector eléctrico - Termoeléctrica</t>
  </si>
  <si>
    <t>Contribución sector eléctrico - Termoeléctrica (vigencia actual)</t>
  </si>
  <si>
    <t>Contribución sector eléctrico - Termoeléctrica (vigencia anterior)</t>
  </si>
  <si>
    <t>Contribución sector eléctrico - Energia Alternativa</t>
  </si>
  <si>
    <t>Contribución sector eléctrico - Energia Alternativa (vigencia actual)</t>
  </si>
  <si>
    <t>Contribución sector eléctrico - Energia Alternativa (vigencia anterior)</t>
  </si>
  <si>
    <t>Participación de intereses de mora sobre contribución sector eléctrico</t>
  </si>
  <si>
    <t>Participación de intereses de mora sobre contribución sector eléctrico (vigencia actual)</t>
  </si>
  <si>
    <t>Participación de intereses de mora sobre contribución sector eléctrico (vigencia anterior)</t>
  </si>
  <si>
    <t>Tasas y derechos administrativos</t>
  </si>
  <si>
    <t>Tasas</t>
  </si>
  <si>
    <t>Tasas retributivas y compensatorias</t>
  </si>
  <si>
    <t>Tasa retributiva</t>
  </si>
  <si>
    <t xml:space="preserve">Corresponden a las tasas retributivas por la utilización directa o indirecta de la atmósfera, del agua y del suelo, para introducir o arrojar desechos o desperdicios agrícolas, mineros o industriales, aguas negras o servidas de cualquier origen, humos, vapores y sustancias nocivas que sean resultado de actividades antrópicas o propiciadas por el hombre, o actividades económicas o de servicio, sean o no lucrativas. También a las tasas para compensar los gastos de mantenimiento de la renovabilidad de los recursos naturales renovables.  </t>
  </si>
  <si>
    <t>Ley 99 de 1993, art. 42. Decreto 1390 de 2018. Decreto 1272 de 2016</t>
  </si>
  <si>
    <t>Tasa retributiva (vigencia actual)</t>
  </si>
  <si>
    <t>Tasa retributiva (vigencia anterior)</t>
  </si>
  <si>
    <t>Tasa retributiva (Rendimientos Financieros)</t>
  </si>
  <si>
    <t>Tasa retributiva (Intereses por mora)</t>
  </si>
  <si>
    <t>Tasa retributiva (Recuperación de Cartera)</t>
  </si>
  <si>
    <t>Tasa retributiva (Superhavit - Mayor recaudo)</t>
  </si>
  <si>
    <t>Tasa retributiva (Superhavit -Recursos no ejecutados)</t>
  </si>
  <si>
    <t>Tasa por el uso del agua</t>
  </si>
  <si>
    <t>Recursos recibidos por concepto del uso y aprovechamiento que hacen las personas naturales, jurídicas, públicas o privadas, de las aguas que componen los recursos naturales renovables asociados a cualquier área del Sistema de Parques Nacionales Naturales. Estos recursos, están destinados por Ley al pago de los gastos de protección y renovación de los recursos hídricos.</t>
  </si>
  <si>
    <t>Ley 99 de 1993, art. 43, reglamentada por el Decreto Ley 155 de 2004</t>
  </si>
  <si>
    <t>Tasa por el uso del agua (vigencia actual)</t>
  </si>
  <si>
    <t>Tasa por el uso del agua (vigencia anterior)</t>
  </si>
  <si>
    <t>Tasa por el uso del agua (Rendimientos Financieros)</t>
  </si>
  <si>
    <t>Tasa por el uso del agua (Intereses por mora)</t>
  </si>
  <si>
    <t>Tasa por el uso del agua (Recuperación de Cartera)</t>
  </si>
  <si>
    <t>Tasa por el uso del agua (Superhavit - Mayor recaudo)</t>
  </si>
  <si>
    <t>Tasa por el uso del agua (Superhavit -Recursos no ejecutados)</t>
  </si>
  <si>
    <t>Tasa de aprovechamiento Forestal</t>
  </si>
  <si>
    <t>Tasa de aprovechamiento Forestal (vigencia actual)</t>
  </si>
  <si>
    <t>Tasa de aprovechamiento Forestal (vigencia anterior)</t>
  </si>
  <si>
    <t>Tasa de aprovechamiento forestal (Rendimientos Financieros)</t>
  </si>
  <si>
    <t>Tasa de aprovechamiento forestal (Intereses por mora)</t>
  </si>
  <si>
    <t>Tasa de aprovechamiento forestal (Recuperación de Cartera)</t>
  </si>
  <si>
    <t>Tasa de aprovechamiento forestal (Superhavit - Mayor recaudo)</t>
  </si>
  <si>
    <t>Tasa de aprovechamiento forestal (Superhavit -Recursos no ejecutados)</t>
  </si>
  <si>
    <t>Tasa compensatoria por caza de Fauna Silvestre</t>
  </si>
  <si>
    <t>se dirige a las autoridades ambientales competentes a que se refiere el artículo 2.2.9.10.1 .3, y a
léls personas naturales o jurídicas que cacen la fauna silvestre nativa en el país, en adelante denominadas usuarios</t>
  </si>
  <si>
    <t>Decreto 1272 de 2016, adiciona un capítulo al Título 9 de la Parte 2 del Libro 2 del Decreto 1076 de 2015, destinarán a la protección y renovación del recurso fauna silvestre, lo cual comprende actividades tales como la formulación e implementación de planes y programas de conservación y de uso
sostenible de especies animales silvestres, la repoblación, el control poblacional, estrategias para el control al tráFico ilegal, la restauración de áreas de importancia faunística, entre otras, así como el monitoreo y la elaboración de estudios de investigación básica y aplicada, estas últimas prioritarias para efectos de la inversión de la tasa, teniendo en cuenta las directrices del Ministerio de Ambiente y Desarrollo Sostenible</t>
  </si>
  <si>
    <t>Tasa compensatoria por caza de Fauna Silvestre (vigencia actual)</t>
  </si>
  <si>
    <t>Tasa compensatoria por caza de Fauna Silvestre (vigencia anterior)</t>
  </si>
  <si>
    <t>Tasa compensatoria por caza de Fauna Silvestre (Rendimientos Financieros)</t>
  </si>
  <si>
    <t>Tasa compensatoria por caza de Fauna Silvestre (Intereses por mora)</t>
  </si>
  <si>
    <t>Tasa compensatoria por caza de Fauna Silvestre (Recuperación de Cartera)</t>
  </si>
  <si>
    <t>Tasa compensatoria por caza de Fauna Silvestre (Superhavit - Mayor recaudo)</t>
  </si>
  <si>
    <t>Tasa compensatoria por caza de Fauna Silvestre (Superhavit -Recursos no ejecutados)</t>
  </si>
  <si>
    <t>Otras tasas</t>
  </si>
  <si>
    <t>Otras tasas (vigencia actual)</t>
  </si>
  <si>
    <t>Otras tasas (vigencia anterior)</t>
  </si>
  <si>
    <t>Otras Tasas (Rendimientos Financieros)</t>
  </si>
  <si>
    <t>Otras Tasas (Intereses por mora)</t>
  </si>
  <si>
    <t>Otras Tasas (Recuperación de Cartera)</t>
  </si>
  <si>
    <t>Otras Tasas (Superhavit - Mayor recaudo)</t>
  </si>
  <si>
    <t>Otras Tasas (Superhavit -Recursos no ejecutados)</t>
  </si>
  <si>
    <t>Derechos Administrativos</t>
  </si>
  <si>
    <t xml:space="preserve">Corresponde a los ingresos por concepto de la venta de bienes y la prestación de servicios que realizan las entidades en desarrollo de sus funciones y competencias legales, independientemente de que las mismas estén o no relacionadas con actividades de producción, o si se venden o no a precios económicamente significativos. Las ventas de bienes y servicios se registran sin deducir los costos de su recaudo (Decreto 111 de 1996, art. 35). </t>
  </si>
  <si>
    <t>Decreto 111 de 1996, art. 35</t>
  </si>
  <si>
    <t>Evaluación de licencias, permisos, concesiones, autorizaciones y demás trámites ambientales</t>
  </si>
  <si>
    <t>Ley 633 de 2002</t>
  </si>
  <si>
    <t>Evaluación de licencias, permisos, concesiones, autorizaciones y demás trámites ambientales (vigencia actual)</t>
  </si>
  <si>
    <t>Evaluación de licencias, permisos, concesiones, autorizaciones y demás trámites ambientales (vigencia anterior)</t>
  </si>
  <si>
    <t>Evaluación de licencias, permisos, concesiones, autorizaciones y demás trámites ambientales (Rendimientos Financieros)</t>
  </si>
  <si>
    <t>Evaluación de licencias, permisos, concesiones, autorizaciones y demás trámites ambientales (Intereses por mora)</t>
  </si>
  <si>
    <t>Evaluación de licencias, permisos, concesiones, autorizaciones y demás trámites ambientales (Recuperación de Cartera)</t>
  </si>
  <si>
    <t>Evaluación de licencias, permisos, concesiones, autorizaciones y demás trámites ambientales (Superhavit - Mayor recaudo)</t>
  </si>
  <si>
    <t>Evaluación de licencias, permisos, concesiones, autorizaciones y demás trámites ambientales (Superhavit -Recursos no ejecutados)</t>
  </si>
  <si>
    <t>Seguimiento a licencias, permisos, concesiones, autorizaciones y demás trámites ambientales</t>
  </si>
  <si>
    <t>Seguimiento a licencias, permisos, concesiones, autorizaciones y demás trámites ambientales (vigencia actual)</t>
  </si>
  <si>
    <t>Seguimiento a licencias, permisos, concesiones, autorizaciones y demás trámites ambientales (vigencia anterior)</t>
  </si>
  <si>
    <t>Seguimiento a licencias, permisos, concesiones, autorizaciones y demás trámites ambientales (Rendimientos Financieros)</t>
  </si>
  <si>
    <t>Seguimiento a licencias, permisos, concesiones, autorizaciones y demás trámites ambientales (Intereses por mora)</t>
  </si>
  <si>
    <t>Seguimiento a licencias, permisos, concesiones, autorizaciones y demás trámites ambientales (Recuperación de Cartera)</t>
  </si>
  <si>
    <t>Seguimiento a licencias, permisos, concesiones, autorizaciones y demás trámites ambientales (Superhavit - Mayor recaudo)</t>
  </si>
  <si>
    <t>Seguimiento a licencias, permisos, concesiones, autorizaciones y demás trámites ambientales (Superhavit -Recursos no ejecutados)</t>
  </si>
  <si>
    <t>Salvoconductos</t>
  </si>
  <si>
    <t>Salvoconductos (vigencia actual)</t>
  </si>
  <si>
    <t>Salvoconductos (vigencia anterior)</t>
  </si>
  <si>
    <t>Salvoconductos (Rendimientos Financieros)</t>
  </si>
  <si>
    <t>Salvoconductos (Intereses por mora)</t>
  </si>
  <si>
    <t>Salvoconductos (Recuperación de Cartera)</t>
  </si>
  <si>
    <t>Salvoconductos (Superhavit - Mayor recaudo)</t>
  </si>
  <si>
    <t>Salvoconductos (Superhavit -Recursos no ejecutados)</t>
  </si>
  <si>
    <t>Venta de productos forestales</t>
  </si>
  <si>
    <t>Venta de productos forestales (vigencia actual)</t>
  </si>
  <si>
    <t>Venta de productos forestales (vigencia anterior)</t>
  </si>
  <si>
    <t>Venta de Servicios de Laboratorio e Información</t>
  </si>
  <si>
    <t>Venta de Servicios de Laboratorio e Información (vigencia actual)</t>
  </si>
  <si>
    <t>Venta de Servicios de Laboratorio e Información (vigencia anterior)</t>
  </si>
  <si>
    <t>Pruebas de Bombeo y Videos de Pozos</t>
  </si>
  <si>
    <t>Pruebas de Bombeo y Videos de Pozos (vigencia actual)</t>
  </si>
  <si>
    <t>Pruebas de Bombeo y Videos de Pozos (vigencia anterior)</t>
  </si>
  <si>
    <t>Aprovechamientos por parques</t>
  </si>
  <si>
    <t>Aprovechamientos por parques (vigencia actual)</t>
  </si>
  <si>
    <t>Aprovechamientos por parques (vigencia anterior)</t>
  </si>
  <si>
    <t>Otros servicios</t>
  </si>
  <si>
    <t>Otros servicios (vigencia actual)</t>
  </si>
  <si>
    <t>Otros servicios (vigencia anterior)</t>
  </si>
  <si>
    <t>Multas, sanciones e intereses de mora</t>
  </si>
  <si>
    <t>El recaudo por multas y sanciones es generado por penalidades pecuniarias que derivan del poder punitivo del Estado, y que se establecen por el incumplimiento de leyes o normas administrativas, con el fin de prevenir un comportamiento considerado indeseable.
Por su parte, los intereses de mora hacen referencia a aquellos que se recaudan por el resarcimiento tarifado o indemnización de los perjuicios que padece el acreedor por no tener consigo el dinero en la oportunidad debida. La mora genera que se hagan correr en contra del deudor los daños y perjuicios llamados moratorios que representan el perjuicio causado al acreedor por el retraso en la ejecución de la obligación.
Los intereses de mora se incluyen en esta cuenta debido al componente indemnizatorio reconocido en la Sentencia C-604/2012. En este sentido, al igual que las multas y sanciones, el cobro de intereses de mora se hace en parte con el fin de prevenir la reiteración de una conducta indeseable.
Las multas, sanciones e intereses moratorios se clasifican en:
1) Multas y sanciones 
2) Intereses de mora</t>
  </si>
  <si>
    <t>Ley 6 de 1992, art. 124; Decreto 410 de 1971, art. 10, 20 y 78; Decreto 393 de 2002, art. 25</t>
  </si>
  <si>
    <t>Multas y sanciones</t>
  </si>
  <si>
    <t>Recursos por concepto de penalidades pecuniarias que derivan del poder punitivo del Estado, y que se establecen con el fin de prevenir un comportamiento considerado indeseable. Vale la pena precisar que las multas y sanciones se distinguen nítidamente de las contribuciones fiscales y parafiscales, pues estas últimas son consecuencia del poder impositivo, y no punitivo, del Estado. Esta diferencia de naturaleza jurídica se articula a la diversidad de finalidades de las mismas.
Así, una multa se establece con el fin de prevenir un comportamiento considerado indeseable, mientras que una contribución es un medio para financiar los gastos del Estado.
Las multas y sanciones se desagregan de igual manera para la Nación, los establecimientos públicos, los fondos especiales y las contribuciones parafiscales.</t>
  </si>
  <si>
    <t>Sentencia C-134/2009
Decreto 1609 de 2015</t>
  </si>
  <si>
    <t>Multas ambientales</t>
  </si>
  <si>
    <t>Corresponde al pago de una suma de dinero que las autoridades ambientales imponen a quien con su acción u omisión infrinja las normas ambientales.
Las autoridades ambientales son: El Ministerio de Ambiente y Desarrollo Sostenible, la Unidad Administrativa Especial del Sistema de Parques Nacionales Naturales, las Corporaciones Autónomas Regionales y las de Desarrollo Sostenible, las Unidades Ambientales Urbanas, la Armada Nacional, así como los departamentos, municipios y distritos.  Estas autoridades están habilitadas para imponer y ejecutar las medidas preventivas y sancionatorias consagradas en la ley, sin perjuicio de las competencias legales de otras autoridades.</t>
  </si>
  <si>
    <t>Ley 1333 de 2009. Ley 99 de 1993</t>
  </si>
  <si>
    <t>Multas ambientales (vigencia actual)</t>
  </si>
  <si>
    <t>Multas ambientales (vigencia anterior)</t>
  </si>
  <si>
    <t>Multas Ambientales (Rendimientos Financieros)</t>
  </si>
  <si>
    <t>Multas Ambientales (Intereses por mora)</t>
  </si>
  <si>
    <t>Multas Ambientales (Recuperación de Cartera)</t>
  </si>
  <si>
    <t>Multas Ambientales (Superhavit - Mayor recaudo)</t>
  </si>
  <si>
    <t>Multas Ambientales (Superhavit -Recursos no ejecutados)</t>
  </si>
  <si>
    <t>Intereses de mora Multas Am bientales</t>
  </si>
  <si>
    <t>Recaudo por concepto del retraso en que ha incurrido un tercero dentro de los plazos establecidos para el pago de una obligación. Los intereses de mora representan el resarcimiento tarifado o indemnización de los perjuicios que padece el acreedor por no tener consigo el dinero en la oportunidad debida.</t>
  </si>
  <si>
    <t>Sentencia C-604/2012</t>
  </si>
  <si>
    <t>Venta de bienes y servicios</t>
  </si>
  <si>
    <t>Ventas de establecimientos de mercado</t>
  </si>
  <si>
    <t xml:space="preserve">Son los ingresos por ventas de bienes y servicios resultantes del desarrollo de funciones misionales de producción o comercialización. Es decir, aquellas funciones de producción o comercialización dispuestas legalmente como competencias principales de la entidad. Esta categoría se desagrega siguiendo la Clasificación Central de Productos (CPC) del DANE.
</t>
  </si>
  <si>
    <t>Agricultura, silvicultura y productos de la pesca</t>
  </si>
  <si>
    <t>Productos de la silvicultura y de la explotación forestal</t>
  </si>
  <si>
    <t>Madera en bruto</t>
  </si>
  <si>
    <t>Madera en bruto (vigencia actual)</t>
  </si>
  <si>
    <t>Madera en bruto  (vigencia anterior)</t>
  </si>
  <si>
    <t>Productos forestales diferentes a la madera</t>
  </si>
  <si>
    <t>Productos forestales diferentes a la madera (vigencia actual)</t>
  </si>
  <si>
    <t>Productos forestales diferentes a la madera  (vigencia anterior)</t>
  </si>
  <si>
    <t>Otras ventas incidentales de establecimiento de mercado</t>
  </si>
  <si>
    <t>Otras ventas incidentales de establecimiento de mercado (vigencia actual)</t>
  </si>
  <si>
    <t>Otras ventas incidentales de establecimiento de mercado (vigencia anterior)</t>
  </si>
  <si>
    <t>Ventas incidentales de establecimiento de no mercado</t>
  </si>
  <si>
    <t>Son los ingresos por ventas de bienes y servicios que no resultan del desarrollo de funciones misionales de producción o comercialización. Es decir, que la venta de dichos bienes y servicios no se relaciona con las competencias legales de la entidad. Generalmente, estas ventas de bienes y servicios tienen un carácter incidental en las entidades. Esta categoría se desagrega siguiendo la Clasificación Central de Productos (CPC) del DANE.</t>
  </si>
  <si>
    <t>Productos metálicos, maquinaria y equipo</t>
  </si>
  <si>
    <t xml:space="preserve">Son los ingresos asociados a la venta de metales básicos o productos metálicos elaborados; maquinaria  de  uso  general  o  especial;  máquinas  para  oficina  y  contabilidad;  aparatos  eléctricos; aparatos de radio, televisión y comunicaciones; aparatos médicos y equipo de transporte. </t>
  </si>
  <si>
    <t xml:space="preserve"> Clasificación Central de Productos (CPC Ver. 2.0)</t>
  </si>
  <si>
    <t>Productos metálicos, maquinaria y equipo (vigencia actual)</t>
  </si>
  <si>
    <t>Productos metálicos, maquinaria y equipo (vigencia anterior)</t>
  </si>
  <si>
    <t>Alquiler de Maquinaria y Equipos</t>
  </si>
  <si>
    <t>Alquiler de Maquinaria y Equipos (vigencia actual)</t>
  </si>
  <si>
    <t>Alquiler de Maquinaria y Equipos (vigencia anterior)</t>
  </si>
  <si>
    <t>Aprovechamiento por arriendos</t>
  </si>
  <si>
    <t>Aprovechamiento por arriendos (vigencia actual)</t>
  </si>
  <si>
    <t>Aprovechamiento por arriendos (vigencia anterior)</t>
  </si>
  <si>
    <t>Otras ventas incidentales de establecimiento no de mercado</t>
  </si>
  <si>
    <t>Otras ventas incidentales de establecimiento no de mercado (vigencia actual)</t>
  </si>
  <si>
    <t>Otras ventas incidentales de establecimiento no de mercado (vigencia anterior)</t>
  </si>
  <si>
    <t>Transferencias corrientes</t>
  </si>
  <si>
    <t>Recursos de capital</t>
  </si>
  <si>
    <t>Los recursos de capital se diferencian de los ingresos corrientes por su regularidad. Si bien el EOP no da una definición conceptual de estos recursos, la Corte Constitucional, mediante la Sentencia C-1072 de 2002, establece que los recursos de capital son aquellos “que entran a las arcas públicas de manera esporádica, no porque hagan parte de un rubro extraño, sino porque su cuantía es indeterminada, lo cual difícilmente asegura su continuidad durante amplios periodos presupuestales” (Corte Constitucional, Sentencia C-1072 de 2002).</t>
  </si>
  <si>
    <t>Disposición de activos</t>
  </si>
  <si>
    <t>Recursos que obtiene una entidad del presupuesto general del sector público provenientes del traslado de derecho y dominio parcial o total de activos con destino a la financiación del presupuesto (Ministerio de Hacienda y Crédito Público, 2011, p. 245). En el CONPES 3281 de 2004 el gobierno nacional estableció la estrategia de aprovechamiento y disposición de activos con el objetivo de “reducir la magnitud del pasivo mediante la liquidación o venta de activos del balance con los cuales se corrija de manera efectiva el déficit fiscal, con un efecto permanente en el mediano plazo” (CONPES 3281 de 2004).</t>
  </si>
  <si>
    <t>Disposición de activos no financieros</t>
  </si>
  <si>
    <t>Corresponde a los ingresos por concepto de transacciones de capital referentes a la venta de activos no financieros . Sobre estos activos se ejerce un derecho de propiedad, y generan beneficios económicos por mantenerlos o utilizarlos durante un período de tiempo. Los activos no financieros incluyen tanto activos producidos como no producidos y los productos de la propiedad intelectual.</t>
  </si>
  <si>
    <t>Disposición de activos fijos</t>
  </si>
  <si>
    <t xml:space="preserve">Ingresos por concepto de la venta de activos no financieros producidos que se utilizan de forma repetida o continua en procesos de producción por más de un año y cuyo precio es significativo para la entidad del PGSP.
En este rubro se deben registrar las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t>
  </si>
  <si>
    <t>Disposición de edificaciones y estructuras</t>
  </si>
  <si>
    <t>Ingresos por concepto de la venta de todo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(FMI, 2014, pág. 179), los cuales se clasifican en otras estructuras.</t>
  </si>
  <si>
    <t>Disposición de maquinaria y equipo</t>
  </si>
  <si>
    <t>Ingresos por la concepto de la venta de activos como equipo de transporte, maquinaria relacionada con tecnologías de la información y las comunicaciones y otras maquinarias y equipos no clasificados en otra partida.</t>
  </si>
  <si>
    <t>Disposición de otros activos fijos</t>
  </si>
  <si>
    <t xml:space="preserve">Ingresos por la disposición de activos no mencionados en los rubros anteriores, a saber, recursos biológicos cultivados y productos de propiedad intelectual. </t>
  </si>
  <si>
    <t>Disposición de productos de la propiedad intelectual</t>
  </si>
  <si>
    <t xml:space="preserve">Ingresos por la disposición de  productos de la propiedad intelectual, los cuales son el resultado de la investigación, el desarrollo o la innovación conducente a conocimientos que pueden venderse en el mercado.  </t>
  </si>
  <si>
    <t>Disposición de activos no producidos</t>
  </si>
  <si>
    <t>Ingresos por la disposición de activos no producidos, los cuales incluyen los activos de origen natural e intangible. Los activos de origen natural son recursos naturales sobre los que se ejercen derechos de propiedad (Fondo Monetario Internacional, 2014, pág. 207).</t>
  </si>
  <si>
    <t>Disposición de  tierras y terrenos</t>
  </si>
  <si>
    <t>Ingresos por la disposición de tierras y terrenos propiamente dichas, incluyendo la cubierta de suelo y las aguas superficiales asociadas, sobre los que se han establecido derechos de propiedad y de las cuales pueden derivarse beneficios económicos para los propietarios por su posesión o uso.</t>
  </si>
  <si>
    <t>Rendimientos financieros</t>
  </si>
  <si>
    <t>Son los ingresos que se reciben las unidades del PGSP en retorno por poner ciertos activos financieros a disposición de terceros, sin trasladar el derecho o dominio, total o parcial del activo. De acuerdo con el MEFP 2014, los activos financieros son aquellos que tienen un pasivo como contrapartida, es decir, el propietario de dicho activo (acreedor) tiene derecho a recibir recursos o fondos de otra unidad institucional (deudor), de acuerdo con las condiciones del pasivo.</t>
  </si>
  <si>
    <t>Recursos de crédito externo</t>
  </si>
  <si>
    <t xml:space="preserve">Comprende los recursos provenientes de operaciones de crédito público realizadas con agentes residentes fuera del país. Entiéndase por operaciones de crédito público todo acto o contrato que tienen por objeto dotar a la entidad del PGSP de recursos, bienes o servicios con plazo para su pago. </t>
  </si>
  <si>
    <t>Recursos de contratos de empréstitos externos</t>
  </si>
  <si>
    <t>Corresponde a los recursos provenientes de contratos de empréstitos externos realizados por las entidades del PGSP. Los contratos de empréstito tienen por objeto proveer a la entidad contratante (órgano del PGN, entidad territorial, órgano autónomo o particular) de recursos con plazo para su pago. Para el caso de las entidades estatales, el Decreto 1068 de 2015 reglamente los contratos de empréstitos externos.</t>
  </si>
  <si>
    <t>Decreto 1068 de 2015</t>
  </si>
  <si>
    <t>Bancos comerciales</t>
  </si>
  <si>
    <t>Comprende los recursos provenientes de los créditos adquiridos con bancos comerciales residentes fuera del país. Un banco comercial es un intermediario financiero que capta recursos de quienes tienen dinero disponible para colocarlos en manos de quienes lo necesitan</t>
  </si>
  <si>
    <t>Decreto 1068 de 2015, art. 2.2.1.2.1.2</t>
  </si>
  <si>
    <t>Entidades de fomento</t>
  </si>
  <si>
    <t>Comprende los recursos provenientes de los créditos adquiridos con entidades de fomento residentes fuera del país.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</si>
  <si>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Recursos de crédito de títulos de deuda pública externa</t>
  </si>
  <si>
    <t>Corresponde a los ingresos por emisión y colocación de bonos y demás valores de contenido crediticio y con plazo para su redención, emitidos por las entidades de gobierno en el exterior o empresas financieros y no financieras.</t>
  </si>
  <si>
    <t>Recursos de crédito de proveedores</t>
  </si>
  <si>
    <t xml:space="preserve">Comprende los créditos obtenidos con agentes residentes fuera del país,  mediante los cuales se contrata la adquisición de bienes o servicios con plazo para su pago. Esta cuenta es de uso exclusivo de la nación. No aplica para la entrega de bienes y/o servicios de manera directa por el proveedor. </t>
  </si>
  <si>
    <t>Decreto 1068 de 2015, art. 2.2.1.2.3.1</t>
  </si>
  <si>
    <t>Recursos de crédito interno</t>
  </si>
  <si>
    <t xml:space="preserve">Comprende los recursos provenientes de operaciones de crédito público que realizan las entidades del PGSP con agentes residentes en el país. Entiéndase por operaciones de crédito público todo acto o contrato que tienen por objeto dotar a la entidad (órgano del PGN, entidad territorial, órgano autónomo, empresa o particular) de recursos, bienes o servicios con plazo para su pago. </t>
  </si>
  <si>
    <t>Recursos de contratos de empréstitos internos</t>
  </si>
  <si>
    <t>Corresponde a los recursos provenientes de contratos de empréstitos internos de las entidades del PGSP. Para las entidades de gobierno, estas operaciones están reguladas por el Decreto 1068 de 2015 y el Decreto 2681 de 1993, art. 22.</t>
  </si>
  <si>
    <t>Decreto 1068 de 2015; Decreto 2681 de 1993, art. 22</t>
  </si>
  <si>
    <t>Recursos de contratos de empréstitos internos con bancos comerciales</t>
  </si>
  <si>
    <t>Corresponde a los ingresos por adquisición de deuda con aquellos bancos comerciales que ofrecen sus recursos a tasas y condiciones vigentes del mercado. Estos recursos pueden dirigirse a cualquier sector.</t>
  </si>
  <si>
    <t>Recursos de contratos de empréstitos internos con bancos comerciales públicos</t>
  </si>
  <si>
    <t>Corresponde a los ingresos por concepto de los desembolsos realizados por bancos comerciales públicos en razón de los créditos otorgados a la entidad del PGSP.</t>
  </si>
  <si>
    <t>Recursos de contratos de empréstitos internos con bancos comerciales privados</t>
  </si>
  <si>
    <t>Corresponde a los ingresos por concepto de los desembolsos realizados por bancos comerciales privados en razón de los créditos otorgados a la entidad del PGSP.</t>
  </si>
  <si>
    <t>Recursos de contratos de empréstitos internos con entidades del sector público</t>
  </si>
  <si>
    <t>Ingresos por contratación de créditos públicos con entidades del sector público, excluyendo a los bancos comerciales públicos que están en otra categoría.</t>
  </si>
  <si>
    <t>Recursos de contratos de empréstitos internos con la Nación</t>
  </si>
  <si>
    <t>Corresponde a los ingresos por desembolsos de créditos otorgados por la Nación a las entidades del gobierno (nivel nacional y subnacional). Estos créditos están sujetos a condonación según los términos pactados en los convenios de desempeño y/o en los documentos que hagan sus veces.</t>
  </si>
  <si>
    <t>Recursos de contratos de empréstitos internos con Findeter</t>
  </si>
  <si>
    <t>Corresponde a los ingresos por desembolsos de créditos realizados durante la vigencia por la Financiera de Desarrollo Territorial S.A. (FINDETER).</t>
  </si>
  <si>
    <t>Recursos de contratos de empréstitos internos con Fonade</t>
  </si>
  <si>
    <t>Corresponde a los ingresos por desembolsos de créditos realizados durante la vigencia por el Fondo Financiero de Proyectos de Desarrollo (FONADE).</t>
  </si>
  <si>
    <t>Recursos de contratos de empréstitos internos con Institutos de Desarrollo Departamental y/o Municipal</t>
  </si>
  <si>
    <t>Corresponde a los ingresos por desembolsos realizados durante la vigencia por concepto de los créditos concedidos a la entidad de gobierno por parte de los fondos o institutos de desarrollo.</t>
  </si>
  <si>
    <t>Banco de la República</t>
  </si>
  <si>
    <t>Comprende los recursos provenientes de los préstamos adquiridos con el Banco de la República, el cual tiene, entre sus funciones, ser prestamista de última instancia del Gobierno Nacional. Los créditos otorgados por el Banco de la República a la Nación sólo se permiten en casos de extrema necesidad, y deben ser aprobados por todos los miembros de la Junta directiva del Banco.</t>
  </si>
  <si>
    <t>Constitución de 1991,  art. 371</t>
  </si>
  <si>
    <t>Recursos de contratos de empréstitos internos con otras instituciones financieras y otros</t>
  </si>
  <si>
    <t xml:space="preserve">Corresponde a los ingresos por contratación de créditos con entidades financieras distintas a las mencionadas. También incluyre los montos de dinero transferidos al Tesoro Nacional por concepto de cuentas inactivas, por parte de las entidades financieras. </t>
  </si>
  <si>
    <t>Recursos de crédito de títulos de deuda pública interna</t>
  </si>
  <si>
    <t>Comprende los recursos provenientes de los títulos de deuda pública (bonos y demás valores de contenido crediticio) emitidos por las entidades de gobierno en el mercado local de capitales con plazo para su rendición</t>
  </si>
  <si>
    <t>Decreto 1068 de 2015, art. 2.2.1.3.1.</t>
  </si>
  <si>
    <t>Colocación y títulos TES clase B del Gobierno Nacional</t>
  </si>
  <si>
    <t xml:space="preserve">Comprende los recursos provenientes de la colocación de Títulos de Tesorería - TES Clase B que realiza el Gobierno Nacional mediante los mecanismos de subasta, operación convenida u operación forzosa, para financiar apropiaciones presupuestales. Los TES Clase B pueden ser administrados directamente por la Nación o ésta puede celebrar con el Banco de la República o con otras entidades nacionales o extranjeras, contratos de administración fiduciaria para la edición, emisión, colocación y garantía de los mismos.  </t>
  </si>
  <si>
    <t>Colocación y títulos TES clase B a corto plazo</t>
  </si>
  <si>
    <t xml:space="preserve">Comprende los recursos provenientes de la colocación de TES Clase B que hace el Gobierno Nacional con  el  fin de efectuar operaciones  de  tesorería,  cuando  el  vencimiento de  los mismos  excede  la respectiva vigencia fiscal. Los TES Clase B a corto plazo tienen un término no mayor a un (1) año y no menor a treinta (30) días. </t>
  </si>
  <si>
    <t>Colocación y títulos TES clase B a largo plazo</t>
  </si>
  <si>
    <t xml:space="preserve">Comprende los recursos provenientes de la colocación de TES Clase B que hace el Gobierno Nacional mediante subasta, operación forzosa u operación convenida, con el fin de financiar apropiaciones presupuestales. Los TES Clase B a largo plazo tienen un término de uno o más años calendario. </t>
  </si>
  <si>
    <t>Bonos y otros títulos emitidos por el Gobierno Nacional</t>
  </si>
  <si>
    <t xml:space="preserve">Comprende  los  recursos provenientes  de  la  colocación  de  bonos  definidos  por  ley,  y  de  títulos diferentes a los TES, que tienen un contenido crediticio con plazo para su redención. </t>
  </si>
  <si>
    <t>Bonos y otros títulos de deuda emitidos por las entidades territoriales</t>
  </si>
  <si>
    <t>Corresponde a los ingresos por emisión y colocación de bonos y demás valores de contenido crediticio y con plazo para su redención, emitidos por las entidades territoriales.</t>
  </si>
  <si>
    <t xml:space="preserve">Comprende los créditos obtenidos con agentes residentes en territorio colombiano,  mediante los cuales se contrata la adquisición de bienes o servicios con plazo para su pago. Esta cuenta es de uso exclusivo de la nación. No aplica para la entrega de bienes y/o servicios de manera directa por el proveedor. </t>
  </si>
  <si>
    <t xml:space="preserve">Transferencias de capital </t>
  </si>
  <si>
    <t>Son las transferencias de recursos que reciben las entidades del PGSP, sin ser regulares o predecibles, y sin dar ningún bien, servicio o activo como contraprestación directa. 
En oposición a las transferencias corrientes, las transferencias de capital se caracterizan por:
•	No permitir un cálculo predecible o una estimación de estos gastos
•	No son disponibilidades regulares 
•	Dependen de la discrecionalidad de la entidad que realiza la transferencia.
•	Tener un plazo limitado de vigencia</t>
  </si>
  <si>
    <t>Convenios</t>
  </si>
  <si>
    <t>Convenios con Departamentos</t>
  </si>
  <si>
    <t xml:space="preserve">Convenios con  Municipios </t>
  </si>
  <si>
    <t>Otros Convenios</t>
  </si>
  <si>
    <t>Transferencias del sector central Nacional - PGN</t>
  </si>
  <si>
    <t>Transferencias a  órganos autónomos e independientes</t>
  </si>
  <si>
    <t>Transferencias del sector descentralizado - Estapublicos Nacionales</t>
  </si>
  <si>
    <t>Transferencias del sector descentralizado - Empresas Nacionales</t>
  </si>
  <si>
    <t>Transferencias del sector central Territorial</t>
  </si>
  <si>
    <t>Transferencias de Departamentos</t>
  </si>
  <si>
    <t xml:space="preserve">Transferencias de Municipios </t>
  </si>
  <si>
    <t>Transferencias del sector descentralizado - Estapublicos Territoriales</t>
  </si>
  <si>
    <t>Transferencias del sector descentralizado - Empresas Territoriales</t>
  </si>
  <si>
    <t>Transferencias de esquemas asociativos</t>
  </si>
  <si>
    <t>09</t>
  </si>
  <si>
    <t>Transferencias de órganos autónomos e independientes</t>
  </si>
  <si>
    <t>10</t>
  </si>
  <si>
    <t>Transferencias de  privados que administran recursos públicos</t>
  </si>
  <si>
    <t>11</t>
  </si>
  <si>
    <t>Indemnizaciones relacionadas con seguros no de vida</t>
  </si>
  <si>
    <t>Son las transferencias de recursos que reciben las entidades del orden nacional y territorial por concepto de las indemnizaciones que se generan en el desarrollo de contratos de seguros no de vida, tras la ocurrencia de un siniestro.</t>
  </si>
  <si>
    <t>12</t>
  </si>
  <si>
    <t>Donaciones</t>
  </si>
  <si>
    <t>Son las transferencias que reciben las entidades o unidades por concepto de donaciones. De acuerdo con el MHCP, son donaciones los “ingresos sin contraprestación, pero con la destinación que establezca el donante, recibidos de otros gobiernos o instituciones públicas o privadas de carácter nacional o internacional” (Ministerio de Hacienda y Crédito Público, 2011, pág. 246).</t>
  </si>
  <si>
    <t>Donaciones de gobiernos extranjeros</t>
  </si>
  <si>
    <t>Son las transferencias por concepto de donaciones que realizan los gobiernos extranjeros a las entidades o unidades.  Se consideran gobiernos extranjeros aquellos que se encuentran fuera del territorio económico colombiano y ejercen soberanía sobre un área determinada del resto del mundo.</t>
  </si>
  <si>
    <t>Donaciones de organizaciones internacionales</t>
  </si>
  <si>
    <t>Son las transferencias por concepto de donaciones que realizan las organizaciones internacionales a las entidades o unidades.  Se entiende por organizaciones internacionales aquellas que cumplen con las siguientes características (FMI, 2009, p. 71):
*Sus miembros son Estados nacionales u otros organismos internacionales cuyos miembros son Estados nacionales.
*Se establecen mediante acuerdos políticos formales entre sus miembros, que tiene el rango de tratados internacionales; su existencia es reconocida por ley en sus países miembros.
*Se crean con una finalidad específica</t>
  </si>
  <si>
    <t>Donaciones del sector privado nacional y extranjero</t>
  </si>
  <si>
    <t>Son las transferencias de recursos por concepto de donaciones que realizan las personas naturales o personas jurídicas del sector privado nacional o extranjero a las entidades.</t>
  </si>
  <si>
    <t>13</t>
  </si>
  <si>
    <t>Compensaciones</t>
  </si>
  <si>
    <t>Son las transferencias de recursos por pagos de gran cuantía, no recurrentes, para compensar daños extensos o lesiones graves, como las que resultan de desastres naturales no cubiertos por pólizas de seguros.</t>
  </si>
  <si>
    <t xml:space="preserve">Compensación resguardos indígenas </t>
  </si>
  <si>
    <t>Corresponde al impuesto predial unificado de los resguardos indígenas de la jurisdicción del municipio con cargo al presupuesto general de la Nación</t>
  </si>
  <si>
    <t>Compensación resguardos indígenas (vigencia actual)</t>
  </si>
  <si>
    <t>Compensación resguardos indígenas (vigencia anterior)</t>
  </si>
  <si>
    <t>Intereses de mora Compensación resguardos indígenas</t>
  </si>
  <si>
    <t>14</t>
  </si>
  <si>
    <t xml:space="preserve">Cooperación </t>
  </si>
  <si>
    <t xml:space="preserve">Acuerdos </t>
  </si>
  <si>
    <t>Subacuerdos</t>
  </si>
  <si>
    <t>Recuperación de cartera</t>
  </si>
  <si>
    <t>Ingresos por concepto de la amortización de préstamos realizados por las unidades del PGSP Gobierno nacional, las entidades territoriales, las empresas financieras y no financieras, los órganos autónomos y particulares que administran recursos públicos</t>
  </si>
  <si>
    <t>Ley 1066 de 2006</t>
  </si>
  <si>
    <t>Recuperación de cartera Ingresos tributarios</t>
  </si>
  <si>
    <t>Recuperación de cartera Impuestos directos</t>
  </si>
  <si>
    <t>Recuperación de cartera Contribuciones</t>
  </si>
  <si>
    <t>Recuperación de cartera Tasas retributivas y compensatorias</t>
  </si>
  <si>
    <t>Recuperación de carteraTasa retributiva</t>
  </si>
  <si>
    <t>Recuperación de cartera Tasa por el uso del agua</t>
  </si>
  <si>
    <t>Recuperación de cartera Tasa de aprovechamiento Forestal</t>
  </si>
  <si>
    <t>Recuperación de cartera Tasa compensatoria por caza de Fauna Silvestre</t>
  </si>
  <si>
    <t>Recuperación de cartera Otras tasas</t>
  </si>
  <si>
    <t>Recuperación de cartera Multas, sanciones e intereses de mora</t>
  </si>
  <si>
    <t>Recuperación de cartera Venta de bienes y servicios</t>
  </si>
  <si>
    <t>Recuperación cuotas partes pensionales</t>
  </si>
  <si>
    <t>Recursos del balance</t>
  </si>
  <si>
    <t>Recursos provenientes del saldo del ejercicio fiscal de la vigencia inmediatamente anterior, que quedan disponibles para la vigencia siguiente.</t>
  </si>
  <si>
    <t>Cancelación de reservas</t>
  </si>
  <si>
    <t>Cancelación de reservas Ingresos tributarios</t>
  </si>
  <si>
    <t>Cancelación de reservas Impuestos directos</t>
  </si>
  <si>
    <t>Cancelación de reservas Contribuciones</t>
  </si>
  <si>
    <t>Cancelación de reservas Tasas retributivas y compensatorias</t>
  </si>
  <si>
    <t>Cancelación de reservas Tasa retributiva</t>
  </si>
  <si>
    <t>Cancelación de reservas Tasa por el uso del agua</t>
  </si>
  <si>
    <t>Cancelación de reservas Tasa de aprovechamiento Forestal</t>
  </si>
  <si>
    <t>Cancelación de reservas Tasa compensatoria por caza de Fauna Silvestre</t>
  </si>
  <si>
    <t>Cancelación de reservas Otras tasas</t>
  </si>
  <si>
    <t>Cancelación de reservas Multas, sanciones e intereses de mora</t>
  </si>
  <si>
    <t>Cancelación de reservas Venta de bienes y servicios</t>
  </si>
  <si>
    <t>Cancelación de reservas Recursos de crédito externo</t>
  </si>
  <si>
    <t>Cancelación de reservas Recursos de crédito interno</t>
  </si>
  <si>
    <t>Cancelación de reservas Transferencias de capital</t>
  </si>
  <si>
    <t>Cancelación de reservas Convenios</t>
  </si>
  <si>
    <t>Cancelación de reservas Convenios Departamentos</t>
  </si>
  <si>
    <t xml:space="preserve">Cancelación de reservas Convenios Municipios </t>
  </si>
  <si>
    <t>Cancelación de reservas Otros convenios</t>
  </si>
  <si>
    <t>Cancelación de reservas Compensaciones</t>
  </si>
  <si>
    <t>Cancelación de reservas Compensación resguardos indígenas</t>
  </si>
  <si>
    <t xml:space="preserve">Aportes Presupuesto General de la Nación </t>
  </si>
  <si>
    <t>Aportes Presupuesto General de la Nación - Funcionamiento</t>
  </si>
  <si>
    <t>Aportes de la Nación para Gastos de personal</t>
  </si>
  <si>
    <t>Aportes de la Nación para Adquisición de bienes y servicios</t>
  </si>
  <si>
    <t>Aportes de la Nación para Transferencias corrientes</t>
  </si>
  <si>
    <t>Aportes Presupuesto General de la Nación - Inversión</t>
  </si>
  <si>
    <t>Aportes Fondo de Compensación Ambiental -FCA,</t>
  </si>
  <si>
    <t xml:space="preserve">Aportes Fondo de Compensación Ambiental -FCA, Funcionamiento </t>
  </si>
  <si>
    <t>Aportes del FCA para Gastos de personal</t>
  </si>
  <si>
    <t>Aportes del FCA para Adquisición de bienes y servicios</t>
  </si>
  <si>
    <t>Aportes del FCA para Transferencias corrientes</t>
  </si>
  <si>
    <t>Aportes inversión Fondo de Compensación Ambiental -FCA</t>
  </si>
  <si>
    <t>Aportes inversión Fondo Nacional Ambiental - FONAM</t>
  </si>
  <si>
    <t>Aportes del Sistema de Participación General de Regalias - SPGR</t>
  </si>
  <si>
    <t>Aportes del SPGR para Funcionamiento</t>
  </si>
  <si>
    <t>Aportes del SPGR para Gastos de personal</t>
  </si>
  <si>
    <t>Aportes del SPGR para Adquisición de bienes y servicios</t>
  </si>
  <si>
    <t>Aportes del SPGR  para Transferencias corrientes</t>
  </si>
  <si>
    <t>Aportes del SPGR para Servicio de la Deuda</t>
  </si>
  <si>
    <t>Aportes del SPGR para Inversión</t>
  </si>
  <si>
    <t>ANEXO No. 2. PROTOCOLO O GUÍA DE DILIGENCIAMIENTO</t>
  </si>
  <si>
    <t xml:space="preserve">MATRIZ DE SEGUIMIENTO A LA GESTIÓN Y DE AVANCE EN LAS METAS FÍSICAS Y FINANCIERAS DEL PLAN DE ACCIÓN </t>
  </si>
  <si>
    <t>ÍTEM</t>
  </si>
  <si>
    <t>DEFINICIONES</t>
  </si>
  <si>
    <t>(1) ESTRUCTURA RENTÍSTICA</t>
  </si>
  <si>
    <t>Es el conjunto de elementos que rigen la clasificación, el ordenamiento y la presentación del Presupuesto.</t>
  </si>
  <si>
    <t>(2) CONCEPTO</t>
  </si>
  <si>
    <t>Cuentas que conforma el presupuesto de ingresos.</t>
  </si>
  <si>
    <t>(3) PROYECTADO PLAN FINANCIERO</t>
  </si>
  <si>
    <t xml:space="preserve">Indique el valor proyectado en el Plan Financiero del Plan de Acción y el cual es la base para la formulación del presupuesto de la vigencia de reporte. </t>
  </si>
  <si>
    <t>(4) ADICIÓN</t>
  </si>
  <si>
    <t>Indique las modificaciones positivas que se realizan al presupuesto de la Corporación, que buscan adecuarlo a nuevas condiciones que se presentan en la ejecución y que no fueron contempladas en la etapa de programación (Plan Financiero); este debe reflejarse tanto en el presupuesto de ingresos como en el gasto con el fin que haya un equilibrio presupuestal.</t>
  </si>
  <si>
    <t>(5) REDUCCIÓN</t>
  </si>
  <si>
    <t>Indique las modificaciones negativas que se realizan al presupuesto de la Corporación, que buscan adecuarlo a nuevas condiciones que se presentan en la ejecución y que afecta la etapa de programación (Plan Financiero); este debe reflejarse tanto en el presupuesto de ingresos como en el gasto con el fin que haya un equilibrio presupuestal.</t>
  </si>
  <si>
    <t>(6) APROPIACIÓN FINAL</t>
  </si>
  <si>
    <t>Es el resultado de la suma de lo programado en el Plan Financiero (3) más las adiciones (4) y menos las reducciones (5).</t>
  </si>
  <si>
    <t>(7) FUNCIONAMIENTO</t>
  </si>
  <si>
    <t>Indique los recursos que se asignan a la cuenta de Funcionamiento por cada una de las fuentes de financiación.</t>
  </si>
  <si>
    <t>(8) INVERSIÓN</t>
  </si>
  <si>
    <t>Indique los recursos que se asignan a la cuenta de Inversión por cada una de las fuentes de financiación.</t>
  </si>
  <si>
    <t>(9) FCA</t>
  </si>
  <si>
    <t>Indique los recursos que se asignan a la cuenta del Fondo de Compensación Ambiental -FCA, por cada una de las fuentes de financiación, atendiendo el artículo 24 de la Ley 344 de 1996, es decir el veinte por ciento (20%) de los recursos percibidos por las Corporaciones Autónomas Regionales, con excepción de las de Desarrollo Sostenible, por concepto de transferencias del sector eléctrico y el diez por ciento (10%) de las restantes rentas propias, con excepción del porcentaje ambiental de los gravámenes a la propiedad inmueble percibidos por ellas y de aquéllas que tengan como origen relaciones contractuales interadministrativas.</t>
  </si>
  <si>
    <t>(10) SERVICIO A LA DEUDA</t>
  </si>
  <si>
    <t>Indique los recursos que, se destina en la vigencia para disminuir el capital adeudado, e intereses, que se calculan sobre el capital adeudado. El servicio de la deuda de un período incluye a todas las obligaciones de un período determinado, es decir, que puede incluir a varios acreedores.</t>
  </si>
  <si>
    <t>(11) DERECHOS POR COBRAR</t>
  </si>
  <si>
    <t>Indique los recursos de los créditos a favor de la corporación y a los cuales realizará el proceso de cobro, estos pueden ser generados por la facturación por la prestación de un servicio, así mismo, se incluyen los valores que se giraran de otras entidades por contratos interinstitucionales, asignación de recursos para ejecución de proyectos, recursos asignados por la nación, los certificados por los entes territoriales por concepto de sobretasa o porcentaje ambiental, las certificaciones de las generadores de energía, por concepto de TSE, etc.</t>
  </si>
  <si>
    <t>(12) RECAUDO EFECTIVO</t>
  </si>
  <si>
    <t>Indique los recursos percibidos por la Corporación durante la vigencia de reporte</t>
  </si>
  <si>
    <t>(13) % DE RECAUDO</t>
  </si>
  <si>
    <t>Es la efectividad de la ejecución de los derechos por cobrar, es la división entre el recaudo efectivo (12) y los derechos por cobrar (11)</t>
  </si>
  <si>
    <t>(14) OBSERVACIONES</t>
  </si>
  <si>
    <t>Si es el caso, relacione lo que considere importante para la respectiva revisión y análisis que realizará DOAT-SINA.</t>
  </si>
  <si>
    <t>ANEXOS INFORME DE SEGUIMIENTO AL PLAN DE ACCIÓN 2024-2027</t>
  </si>
  <si>
    <t>Nombre de la Corporación</t>
  </si>
  <si>
    <t>Corporación Autónoma Regional del Alto Magdalena - CAM</t>
  </si>
  <si>
    <t>Periodo a reportar</t>
  </si>
  <si>
    <t>Corporación Autónoma Regional de Cundinamarca – CAR</t>
  </si>
  <si>
    <t>Nombre de la persona responsable del reporte</t>
  </si>
  <si>
    <t>Corporación Autónoma Regional del Canal del Dique – CARDIQUE</t>
  </si>
  <si>
    <t>Dependencia</t>
  </si>
  <si>
    <t>Corporación Autónoma Regional de Sucre – CARSUCRE</t>
  </si>
  <si>
    <t>Cargo</t>
  </si>
  <si>
    <t>Corporación Autónoma Regional de Santander – CAS</t>
  </si>
  <si>
    <t>Correo electrónico</t>
  </si>
  <si>
    <t>Corporación para el Desarrollo Sostenible del Norte y el Oriente Amazónico – CDA</t>
  </si>
  <si>
    <t>Teléfono</t>
  </si>
  <si>
    <t>Corporación Autónoma Regional para la Defensa de la Meseta de Bucaramanga – CDMB</t>
  </si>
  <si>
    <t>Corporación Autónoma Regional para el Desarrollo Sostenible del Chocó – CODECHOCÓ</t>
  </si>
  <si>
    <t>Corporación para el Desarrollo Sostenible del Archipiélago de San Andrés, Providencia y Santa Catalina – CORALINA</t>
  </si>
  <si>
    <t>Corporación Autónoma Regional del Centro de Antioquia – CORANTIOQUIA</t>
  </si>
  <si>
    <t>Corporación para el Desarrollo Sostenible del Área de Manejo Especial de La Macarena – CORMACARENA</t>
  </si>
  <si>
    <t>Corporación Autónoma Regional de las Cuencas de los Ríos Negro y Nare – CORNARE</t>
  </si>
  <si>
    <t>Corporación Autónoma Regional del Magdalena – CORPAMAG</t>
  </si>
  <si>
    <t>Corporación para el Desarrollo Sostenible del Sur de la Amazonia – CORPOAMAZONIA</t>
  </si>
  <si>
    <t>Corporación Autónoma Regional de Boyacá – CORPOBOYACÁ</t>
  </si>
  <si>
    <t>Corporación Autónoma Regional de Caldas – CORPOCALDAS</t>
  </si>
  <si>
    <t>Corporación Autónoma Regional del Cesar – CORPOCESAR</t>
  </si>
  <si>
    <t>Corporación Autónoma Regional de Chivor – CORPOCHIVOR</t>
  </si>
  <si>
    <t>Corporación Autónoma Regional de La Guajira – CORPOGUAJIRA</t>
  </si>
  <si>
    <t>Corporación Autónoma Regional del Guavio – CORPOGUAVIO</t>
  </si>
  <si>
    <t>Corporación para el Desarrollo Sostenible de La Mojana y El San Jorge – CORPOMOJANA</t>
  </si>
  <si>
    <t>Corporación Autónoma Regional de Nariño – CORPONARIÑO</t>
  </si>
  <si>
    <t>Corporación Autónoma Regional de la Frontera Nororiental – CORPONOR</t>
  </si>
  <si>
    <t>Corporación Autónoma Regional de Risaralda – CARDER</t>
  </si>
  <si>
    <t>Corporación Autónoma Regional de la Orinoquia – CORPORINOQUIA</t>
  </si>
  <si>
    <t>Corporación para el Desarrollo Sostenible del Urabá – CORPOURABA</t>
  </si>
  <si>
    <t>Corporación Autónoma Regional del Tolima – CORTOLIMA</t>
  </si>
  <si>
    <t>Corporación Autónoma Regional del Atlántico – CRA</t>
  </si>
  <si>
    <t>Corporación Autónoma Regional del Cauca – CRC</t>
  </si>
  <si>
    <t>Corporación Autónoma Regional del Quindío – CRQ</t>
  </si>
  <si>
    <t>Corporación Autónoma Regional del Sur de Bolívar – CSB</t>
  </si>
  <si>
    <t>Corporación Autónoma Regional del Valle del Cauca – CVC</t>
  </si>
  <si>
    <t>Corporación Autónoma Regional de los Valles del Sinú y del San Jorge – CVS</t>
  </si>
  <si>
    <t>2016-I</t>
  </si>
  <si>
    <t>2016-II</t>
  </si>
  <si>
    <t>2017-I</t>
  </si>
  <si>
    <t>2017-II</t>
  </si>
  <si>
    <t>2018-I</t>
  </si>
  <si>
    <t>2018-II</t>
  </si>
  <si>
    <t>2019-I</t>
  </si>
  <si>
    <t>2019-II</t>
  </si>
  <si>
    <t>2020-I</t>
  </si>
  <si>
    <t>2020-II</t>
  </si>
  <si>
    <t>2021-I</t>
  </si>
  <si>
    <t>2021-II</t>
  </si>
  <si>
    <t>2022-I</t>
  </si>
  <si>
    <t>2022-II</t>
  </si>
  <si>
    <t>2023-I</t>
  </si>
  <si>
    <t>2023-II</t>
  </si>
  <si>
    <t>2024-I</t>
  </si>
  <si>
    <t>2024-II</t>
  </si>
  <si>
    <t>2025-I</t>
  </si>
  <si>
    <t>2025-II</t>
  </si>
  <si>
    <t>2026-I</t>
  </si>
  <si>
    <t>2026-II</t>
  </si>
  <si>
    <t>2027-I</t>
  </si>
  <si>
    <t>2027-II</t>
  </si>
  <si>
    <t xml:space="preserve">MATRIZ DE REPORTE DE AVANCE DE INDICADORES MÍNIMOS DE GESTIÓN INCORPORADOS EN LA RESOLUCIÓN 667 DE 2016  </t>
  </si>
  <si>
    <t>PERIODO REPORTADO:</t>
  </si>
  <si>
    <t>N</t>
  </si>
  <si>
    <t>Indicador</t>
  </si>
  <si>
    <t>Año 1</t>
  </si>
  <si>
    <t>Año 2</t>
  </si>
  <si>
    <t>Año 3</t>
  </si>
  <si>
    <t>Año 4</t>
  </si>
  <si>
    <t>Acuerdo</t>
  </si>
  <si>
    <t>Programas</t>
  </si>
  <si>
    <t>Observaciones</t>
  </si>
  <si>
    <t>Acuerdo Consejo Directivo</t>
  </si>
  <si>
    <t>Programa o Proyecto asociado</t>
  </si>
  <si>
    <t xml:space="preserve">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</si>
  <si>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</si>
  <si>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</si>
  <si>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</si>
  <si>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</si>
  <si>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</si>
  <si>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</si>
  <si>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</si>
  <si>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</si>
  <si>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</si>
  <si>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</si>
  <si>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</si>
  <si>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</si>
  <si>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</si>
  <si>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</si>
  <si>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</si>
  <si>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</si>
  <si>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</si>
  <si>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</si>
  <si>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</si>
  <si>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</si>
  <si>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</si>
  <si>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</si>
  <si>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</si>
  <si>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</si>
  <si>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</si>
  <si>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</si>
  <si>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</si>
  <si>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 xml:space="preserve">ANEXO NO. 3. MATRIZ DE REPORTE DE AVANCE DE INDICADORES MÍNIMOS DE GESTIÓN INCORPORADOS EN LA RESOLUCIÓN 667 DE 2016  </t>
  </si>
  <si>
    <r>
      <t>Porcentaje de avance en la formulación y/o ajuste de los Planes de Ordenación y Manejo de Cuencas (POMCAS), Planes de Manejo de Acuíferos (PMA) y Planes de Manejo de Microcuencas (PMM</t>
    </r>
    <r>
      <rPr>
        <b/>
        <sz val="9"/>
        <color rgb="FF000000"/>
        <rFont val="Calibri"/>
        <family val="2"/>
        <scheme val="minor"/>
      </rPr>
      <t>)</t>
    </r>
  </si>
  <si>
    <t>(Hoja metodológica versión 1,00)</t>
  </si>
  <si>
    <t>Datos reportados por la Corporación</t>
  </si>
  <si>
    <t>Datos establecidos por el MADS</t>
  </si>
  <si>
    <t xml:space="preserve">Año </t>
  </si>
  <si>
    <t>Datos calculados por el sistema</t>
  </si>
  <si>
    <t>VOLVER AL INDICE</t>
  </si>
  <si>
    <t xml:space="preserve"> ¿El Indicador aplica por las especificades ambientales regionales? </t>
  </si>
  <si>
    <t>SI APLICA</t>
  </si>
  <si>
    <t>SI SE REPORTA</t>
  </si>
  <si>
    <t xml:space="preserve">Observaciones </t>
  </si>
  <si>
    <t>Metodología de cálculo</t>
  </si>
  <si>
    <t>Para su cálculo, se diligencia la siguiente información:</t>
  </si>
  <si>
    <t>Número de cuencas objeto de POMCA en la jurisdicción de la CAR según la zonificación hidrográfica:</t>
  </si>
  <si>
    <t>Número de cuencas objeto de POMCA priorizadas para el cuatrienio en la jurisdicción de la CAR:</t>
  </si>
  <si>
    <t>Número de cuencas con POMCAS aprobados, bajo el nuevo marco normativo (Decreto 1076 de 2015) a 31 de diciembre de 2023:</t>
  </si>
  <si>
    <t>Meta de POMCAS aprobados para el cuatrienio 2024-2027 (número):</t>
  </si>
  <si>
    <t>Meta de PMA aprobados para el cuatrienio 2024-2027 (número):</t>
  </si>
  <si>
    <t>Meta de PMM aprobados para el cuatrienio 2024-2027 (número):</t>
  </si>
  <si>
    <t>Datos generales de los POMCAS:</t>
  </si>
  <si>
    <t>Cuencas, acuíferos y microcuencas objeto de planes en la jurisdicción de la CAR</t>
  </si>
  <si>
    <t>Tipo de Plan (a)</t>
  </si>
  <si>
    <t>Código (b)</t>
  </si>
  <si>
    <t>Nombre de Cuenca, Microcuenca, Acuífero</t>
  </si>
  <si>
    <t>Área (Has)</t>
  </si>
  <si>
    <t>Estado de avance a 31 de diciembre de 2023 (c)</t>
  </si>
  <si>
    <t>Estado de avance a 31 de diciembre de 2023(%)</t>
  </si>
  <si>
    <t>POMCA</t>
  </si>
  <si>
    <t>PMA</t>
  </si>
  <si>
    <t>PMM</t>
  </si>
  <si>
    <t>Utilice tantas líneas cuantas sean necesarias.</t>
  </si>
  <si>
    <r>
      <t>(a)</t>
    </r>
    <r>
      <rPr>
        <sz val="7"/>
        <color rgb="FF000000"/>
        <rFont val="Times New Roman"/>
        <family val="1"/>
      </rPr>
      <t xml:space="preserve">     </t>
    </r>
    <r>
      <rPr>
        <sz val="9"/>
        <color rgb="FF000000"/>
        <rFont val="Calibri"/>
        <family val="2"/>
      </rPr>
      <t>POMCA, PMA, PMM</t>
    </r>
  </si>
  <si>
    <r>
      <t>(b)</t>
    </r>
    <r>
      <rPr>
        <sz val="7"/>
        <color rgb="FF000000"/>
        <rFont val="Times New Roman"/>
        <family val="1"/>
      </rPr>
      <t xml:space="preserve">     </t>
    </r>
    <r>
      <rPr>
        <sz val="9"/>
        <color rgb="FF000000"/>
        <rFont val="Calibri"/>
        <family val="2"/>
      </rPr>
      <t>Si aplica</t>
    </r>
  </si>
  <si>
    <r>
      <t>(c)</t>
    </r>
    <r>
      <rPr>
        <sz val="7"/>
        <color rgb="FF000000"/>
        <rFont val="Times New Roman"/>
        <family val="1"/>
      </rPr>
      <t xml:space="preserve">     </t>
    </r>
    <r>
      <rPr>
        <sz val="9"/>
        <color rgb="FF000000"/>
        <rFont val="Calibri"/>
        <family val="2"/>
      </rPr>
      <t>Procesos formales previos, En Fase de Aprestamiento, Diagnóstico, En Fase de Prospectiva y Zonificación Ambiental, en Fase de Formulación y Aprobado. Si está aprobado, escriba el número del acto administrativo.</t>
    </r>
  </si>
  <si>
    <t>Meta anual de avance (%) en la formulación de cada plan</t>
  </si>
  <si>
    <t>Utilice tantas líneas cuantas sean necesarias e indique las metas anuales teniendo como base la ponderación establecida para cada fase, hasta alcanzar el 100% con la aprobación del plan.</t>
  </si>
  <si>
    <t>Reporte de porcentaje de avance en la formulación de cada plan (*) (%)</t>
  </si>
  <si>
    <t>Código</t>
  </si>
  <si>
    <t>(*) Para el caso de los POMCA, el avance alcanza el 100% cuando ha sido aprobado a través del respectivo acto administrativo, pues de acuerdo con la Guía Técnica para la formulación de Planes de Ordenación y manejo de Cuencas Hidrográficas (Resolución 1907 de 2013), la fase de formulación concluye con la publicidad y aprobación del plan.</t>
  </si>
  <si>
    <t>Porcentaje de avance de la meta anual en la formulación de cada plan</t>
  </si>
  <si>
    <t>Porcentaje promedio de avance anual en la formulación de los planes</t>
  </si>
  <si>
    <t>Tipo de Plan</t>
  </si>
  <si>
    <t>Ponderación regional</t>
  </si>
  <si>
    <t>POMCAS</t>
  </si>
  <si>
    <t>PAFP t =</t>
  </si>
  <si>
    <r>
      <t xml:space="preserve">PAFP </t>
    </r>
    <r>
      <rPr>
        <vertAlign val="subscript"/>
        <sz val="9"/>
        <color rgb="FF000000"/>
        <rFont val="Calibri"/>
        <family val="2"/>
        <scheme val="minor"/>
      </rPr>
      <t>t</t>
    </r>
    <r>
      <rPr>
        <sz val="9"/>
        <color rgb="FF000000"/>
        <rFont val="Calibri"/>
        <family val="2"/>
        <scheme val="minor"/>
      </rPr>
      <t xml:space="preserve"> = Porcentaje de avance en la formulación y/o ajuste de los Planes de Ordenación y Manejo de Cuencas (POMCAS), Planes de Manejo de Acuíferos (PMA) y Planes de Manejo de Microcuencas (PMM)</t>
    </r>
  </si>
  <si>
    <t>Interpretación</t>
  </si>
  <si>
    <t>El indicador hace seguimiento a la función de planificación ambiental relacionada con el recurso hídrico a cargo de las corporaciones autónomas regionales. Cuanto más cercano a cien por ciento, mayor es el cumplimiento de las metas establecidas en la planificación de dicho recurso.</t>
  </si>
  <si>
    <t>Restricciones o Limitaciones</t>
  </si>
  <si>
    <t>Teniendo en cuenta que la formulación de los POMCAS, PMA y PMM que realizan las Corporaciones Autónomas Regionales y de Desarrollo Sostenible en el marco de sus competencias obedecen a procesos técnicos y sociales particulares de cada región, se pueden presentar situaciones de orden operativo, político y social que pueden afectar los cronogramas definidos para la formulación de dichos instrumentos de planificación.</t>
  </si>
  <si>
    <t>Responsable del reporte de las variables del indicador</t>
  </si>
  <si>
    <t>Entidad</t>
  </si>
  <si>
    <t>Nombre del funcionario</t>
  </si>
  <si>
    <t>Dirección</t>
  </si>
  <si>
    <t>Responsable del cálculo del indicador</t>
  </si>
  <si>
    <t>Ministerio de Ambiente y Desarrollo Sostenible MADS</t>
  </si>
  <si>
    <t>Dirección de Ordenamiento Territorial y Coordinación del Sistema Ambiental – SINA</t>
  </si>
  <si>
    <t xml:space="preserve">Información sobre la Hoja Metodológica </t>
  </si>
  <si>
    <t>Fecha</t>
  </si>
  <si>
    <t>Versión</t>
  </si>
  <si>
    <t>Datos del autor o de quien ajustó la hoja metodológica</t>
  </si>
  <si>
    <t>Descripción de los ajustes</t>
  </si>
  <si>
    <r>
      <t>Hoja Metodológica de referencia:</t>
    </r>
    <r>
      <rPr>
        <sz val="9"/>
        <color rgb="FF000000"/>
        <rFont val="Calibri"/>
        <family val="2"/>
        <scheme val="minor"/>
      </rPr>
      <t xml:space="preserve"> MADS (2016). </t>
    </r>
    <r>
      <rPr>
        <i/>
        <sz val="9"/>
        <color rgb="FF000000"/>
        <rFont val="Calibri"/>
        <family val="2"/>
        <scheme val="minor"/>
      </rPr>
      <t>Hoja metodológica del Porcentaje de avance en la formulación de los Planes de Ordenación y Manejo de Cuencas (POMCAS), Planes de Manejo de Acuíferos (PMA) y Planes de Manejo de Microcuencas (PMM) (Versión 1.0).</t>
    </r>
    <r>
      <rPr>
        <sz val="9"/>
        <color rgb="FF000000"/>
        <rFont val="Calibri"/>
        <family val="2"/>
        <scheme val="minor"/>
      </rPr>
      <t xml:space="preserve"> Ministerio de Ambiente y Desarrollo Sostenible MADS, DGOAT-SINA y DRH.</t>
    </r>
  </si>
  <si>
    <t>Descripción del Indicador</t>
  </si>
  <si>
    <t>Definición</t>
  </si>
  <si>
    <t>Es el porcentaje de avance en la formulación o ajuste de los Planes de Ordenación y Manejo de Cuencas (POMCAS), Planes de Manejo de Acuíferos (PMA) y Planes de Manejo de Microcuencas (PMM) priorizados por la Corporación.</t>
  </si>
  <si>
    <t>Pertinencia</t>
  </si>
  <si>
    <t>Finalidad / Propósito:</t>
  </si>
  <si>
    <t>El indicador mide el cumplimiento de las metas establecidas en relación con la formulación o ajuste de los Planes de Ordenación y Manejo de Cuencas (POMCAS), Planes de Manejo de Acuíferos (PMA) y Planes de Manejo de Microcuencas (PMM).</t>
  </si>
  <si>
    <t>Seguimiento a las metas del Plan Nacional de Desarrollo 2014-2018 (POMCAS formulados)</t>
  </si>
  <si>
    <t>Normatividad de soporte:</t>
  </si>
  <si>
    <t>Ley 99 de 1993.</t>
  </si>
  <si>
    <t>Decreto 1076 de 2015.</t>
  </si>
  <si>
    <t>Resolución 1907 de 2013.</t>
  </si>
  <si>
    <t>Resolución 509 de 2013.</t>
  </si>
  <si>
    <t>Documentación de Referencia:</t>
  </si>
  <si>
    <t>Política Nacional para la Gestión Integral del Recurso Hídrico</t>
  </si>
  <si>
    <t>Plan Nacional de Desarrollo 2014-2018</t>
  </si>
  <si>
    <t>Guía Técnica para la formulación de Planes de Ordenación y manejo de Cuencas Hidrográficas.</t>
  </si>
  <si>
    <t>Metas / Estándares</t>
  </si>
  <si>
    <t>Marco conceptual</t>
  </si>
  <si>
    <t>El Plan de Ordenación y manejo de Cuencas Hidrográficas (POMCA) es el instrumento a través del cual se realiza la planeación del uso coordinado del suelo, de las aguas, de la flora y la fauna; y el manejo de la cuenca, entendido como la ejecución de obras y tratamientos, en la perspectiva de mantener el equilibrio entre el aprovechamiento social y económico de tales recursos, y la conservación de la estructura físico -biótica de la cuenca y particularmente del recurso hídrico (Artículo 2.2.3.1.5.1 del Decreto 1076 de 2015).</t>
  </si>
  <si>
    <r>
      <t>Plan de Ordenación y Manejo de Cuenca (POMCA)</t>
    </r>
    <r>
      <rPr>
        <sz val="9"/>
        <color rgb="FF000000"/>
        <rFont val="Calibri"/>
        <family val="2"/>
        <scheme val="minor"/>
      </rPr>
      <t>:</t>
    </r>
  </si>
  <si>
    <t>Para la elaboración o ajuste de los POMCAS, las Corporaciones Autónomas Regionales y de Desarrollo Sostenible deberán desarrollar los siguientes procesos formales previos, las fases e hitos establecidos en la Resolución 1907 de 2013:</t>
  </si>
  <si>
    <r>
      <t>1.</t>
    </r>
    <r>
      <rPr>
        <sz val="7"/>
        <color rgb="FF000000"/>
        <rFont val="Times New Roman"/>
        <family val="1"/>
      </rPr>
      <t xml:space="preserve">       </t>
    </r>
    <r>
      <rPr>
        <sz val="9"/>
        <color rgb="FF000000"/>
        <rFont val="Calibri"/>
        <family val="2"/>
        <scheme val="minor"/>
      </rPr>
      <t>Procesos formales previos (Priorización de Cuencas, Conformación o Reconformación de Comisiones Conjuntas, Declaratoria de Cuencas en Ordenación)</t>
    </r>
  </si>
  <si>
    <r>
      <t>2.</t>
    </r>
    <r>
      <rPr>
        <sz val="7"/>
        <color rgb="FF000000"/>
        <rFont val="Times New Roman"/>
        <family val="1"/>
      </rPr>
      <t xml:space="preserve">       </t>
    </r>
    <r>
      <rPr>
        <sz val="9"/>
        <color rgb="FF000000"/>
        <rFont val="Calibri"/>
        <family val="2"/>
        <scheme val="minor"/>
      </rPr>
      <t>Fase de Aprestamiento</t>
    </r>
  </si>
  <si>
    <r>
      <t>3.</t>
    </r>
    <r>
      <rPr>
        <sz val="7"/>
        <color rgb="FF000000"/>
        <rFont val="Times New Roman"/>
        <family val="1"/>
      </rPr>
      <t xml:space="preserve">       </t>
    </r>
    <r>
      <rPr>
        <sz val="9"/>
        <color rgb="FF000000"/>
        <rFont val="Calibri"/>
        <family val="2"/>
        <scheme val="minor"/>
      </rPr>
      <t>Fase Diagnóstico</t>
    </r>
  </si>
  <si>
    <r>
      <t>4.</t>
    </r>
    <r>
      <rPr>
        <sz val="7"/>
        <color rgb="FF000000"/>
        <rFont val="Times New Roman"/>
        <family val="1"/>
      </rPr>
      <t xml:space="preserve">       </t>
    </r>
    <r>
      <rPr>
        <sz val="9"/>
        <color rgb="FF000000"/>
        <rFont val="Calibri"/>
        <family val="2"/>
        <scheme val="minor"/>
      </rPr>
      <t>Fase de Prospectiva y Zonificación Ambiental</t>
    </r>
  </si>
  <si>
    <r>
      <t>5.</t>
    </r>
    <r>
      <rPr>
        <sz val="7"/>
        <color rgb="FF000000"/>
        <rFont val="Times New Roman"/>
        <family val="1"/>
      </rPr>
      <t xml:space="preserve">       </t>
    </r>
    <r>
      <rPr>
        <sz val="9"/>
        <color rgb="FF000000"/>
        <rFont val="Calibri"/>
        <family val="2"/>
        <scheme val="minor"/>
      </rPr>
      <t>Fase de Formulación</t>
    </r>
  </si>
  <si>
    <r>
      <t>Plan de Manejo de Acuíferos (PMA)</t>
    </r>
    <r>
      <rPr>
        <sz val="9"/>
        <color rgb="FF000000"/>
        <rFont val="Calibri"/>
        <family val="2"/>
        <scheme val="minor"/>
      </rPr>
      <t>:</t>
    </r>
  </si>
  <si>
    <t>Para la elaboración o ajuste de PMA con base en el Decreto 1076 de 2015 (Dto 1640 de 2012), las Corporaciones Autónomas Regionales y de Desarrollo Sostenible deberán desarrollar las siguientes fases:</t>
  </si>
  <si>
    <r>
      <t>1.</t>
    </r>
    <r>
      <rPr>
        <sz val="7"/>
        <color rgb="FF000000"/>
        <rFont val="Times New Roman"/>
        <family val="1"/>
      </rPr>
      <t xml:space="preserve">       </t>
    </r>
    <r>
      <rPr>
        <sz val="9"/>
        <color rgb="FF000000"/>
        <rFont val="Calibri"/>
        <family val="2"/>
        <scheme val="minor"/>
      </rPr>
      <t>Fase de Aprestamiento</t>
    </r>
  </si>
  <si>
    <r>
      <t>2.</t>
    </r>
    <r>
      <rPr>
        <sz val="7"/>
        <color rgb="FF000000"/>
        <rFont val="Times New Roman"/>
        <family val="1"/>
      </rPr>
      <t xml:space="preserve">       </t>
    </r>
    <r>
      <rPr>
        <sz val="9"/>
        <color rgb="FF000000"/>
        <rFont val="Calibri"/>
        <family val="2"/>
        <scheme val="minor"/>
      </rPr>
      <t>Fase Diagnóstico</t>
    </r>
  </si>
  <si>
    <r>
      <t>3.</t>
    </r>
    <r>
      <rPr>
        <sz val="7"/>
        <color rgb="FF000000"/>
        <rFont val="Times New Roman"/>
        <family val="1"/>
      </rPr>
      <t xml:space="preserve">       </t>
    </r>
    <r>
      <rPr>
        <sz val="9"/>
        <color rgb="FF000000"/>
        <rFont val="Calibri"/>
        <family val="2"/>
        <scheme val="minor"/>
      </rPr>
      <t>Fase de Formulación</t>
    </r>
  </si>
  <si>
    <r>
      <t>Plan de Manejo de Microcuencas (PMM)</t>
    </r>
    <r>
      <rPr>
        <sz val="9"/>
        <color rgb="FF000000"/>
        <rFont val="Calibri"/>
        <family val="2"/>
        <scheme val="minor"/>
      </rPr>
      <t>:</t>
    </r>
  </si>
  <si>
    <t>Para la elaboración o ajuste de PMM con base en el Decreto 1076 de 2015 (Dto 1640 de 2012), las Corporaciones Autónomas Regionales y de Desarrollo Sostenible deberán desarrollar las siguientes fases:</t>
  </si>
  <si>
    <r>
      <t>3.</t>
    </r>
    <r>
      <rPr>
        <i/>
        <sz val="7"/>
        <color rgb="FF000000"/>
        <rFont val="Times New Roman"/>
        <family val="1"/>
      </rPr>
      <t xml:space="preserve">       </t>
    </r>
    <r>
      <rPr>
        <sz val="9"/>
        <color rgb="FF000000"/>
        <rFont val="Calibri"/>
        <family val="2"/>
        <scheme val="minor"/>
      </rPr>
      <t>Fase de Formulación</t>
    </r>
  </si>
  <si>
    <t>Fórmula de cálculo</t>
  </si>
  <si>
    <t>Donde:</t>
  </si>
  <si>
    <r>
      <t xml:space="preserve">PAFP </t>
    </r>
    <r>
      <rPr>
        <vertAlign val="subscript"/>
        <sz val="9"/>
        <color rgb="FF000000"/>
        <rFont val="Calibri"/>
        <family val="2"/>
        <scheme val="minor"/>
      </rPr>
      <t>t</t>
    </r>
    <r>
      <rPr>
        <sz val="9"/>
        <color rgb="FF000000"/>
        <rFont val="Calibri"/>
        <family val="2"/>
        <scheme val="minor"/>
      </rPr>
      <t xml:space="preserve"> = Porcentaje de avance en la formulación de los Planes de Ordenación y Manejo de Cuencas (POMCAS), Planes de Manejo de Acuíferos (PMA) y Planes de Manejo de Microcuencas (PMM), en el tiempo t.</t>
    </r>
  </si>
  <si>
    <r>
      <t xml:space="preserve">PPAPOMCAS </t>
    </r>
    <r>
      <rPr>
        <vertAlign val="subscript"/>
        <sz val="9"/>
        <color rgb="FF000000"/>
        <rFont val="Calibri"/>
        <family val="2"/>
        <scheme val="minor"/>
      </rPr>
      <t>t</t>
    </r>
    <r>
      <rPr>
        <sz val="9"/>
        <color rgb="FF000000"/>
        <rFont val="Calibri"/>
        <family val="2"/>
        <scheme val="minor"/>
      </rPr>
      <t xml:space="preserve"> = Porcentaje promedio de avance en la formulación de los Planes de Ordenación y Manejo de Cuencas (POMCAS), en el tiempo t.</t>
    </r>
  </si>
  <si>
    <r>
      <t xml:space="preserve">PPAPMA </t>
    </r>
    <r>
      <rPr>
        <vertAlign val="subscript"/>
        <sz val="9"/>
        <color rgb="FF000000"/>
        <rFont val="Calibri"/>
        <family val="2"/>
        <scheme val="minor"/>
      </rPr>
      <t>t</t>
    </r>
    <r>
      <rPr>
        <sz val="9"/>
        <color rgb="FF000000"/>
        <rFont val="Calibri"/>
        <family val="2"/>
        <scheme val="minor"/>
      </rPr>
      <t xml:space="preserve"> = Porcentaje promedio de avance en la formulación de los Planes de Manejo de Acuíferos (PMA), en el tiempo t.</t>
    </r>
  </si>
  <si>
    <r>
      <t xml:space="preserve">PPAPMM </t>
    </r>
    <r>
      <rPr>
        <vertAlign val="subscript"/>
        <sz val="9"/>
        <color rgb="FF000000"/>
        <rFont val="Calibri"/>
        <family val="2"/>
        <scheme val="minor"/>
      </rPr>
      <t>t</t>
    </r>
    <r>
      <rPr>
        <sz val="9"/>
        <color rgb="FF000000"/>
        <rFont val="Calibri"/>
        <family val="2"/>
        <scheme val="minor"/>
      </rPr>
      <t xml:space="preserve"> = Porcentaje promedio de avance en la formulación de los Planes de Microcuencas (PMM), en el tiempo t.</t>
    </r>
  </si>
  <si>
    <t>a = ponderador de POMCAS</t>
  </si>
  <si>
    <t>b = ponderador de PMA</t>
  </si>
  <si>
    <t>c = ponderador de PMM</t>
  </si>
  <si>
    <t>a + b + c = 1</t>
  </si>
  <si>
    <t>Los ponderadores de POMCAS, PMA y PMM serán definidos por cada CAR teniendo en cuenta las metas de los diferentes tipos de planes y las condiciones particulares regionales.</t>
  </si>
  <si>
    <t>Los ponderadores de las fases de POMCAS, PMA y PMM en el cuatrienio son los siguientes:</t>
  </si>
  <si>
    <r>
      <t>Plan de Ordenación y Manejo de Cuenca (POMCA)</t>
    </r>
    <r>
      <rPr>
        <sz val="9"/>
        <color rgb="FF000000"/>
        <rFont val="Calibri"/>
        <family val="2"/>
        <scheme val="minor"/>
      </rPr>
      <t xml:space="preserve">: </t>
    </r>
  </si>
  <si>
    <t>Fase</t>
  </si>
  <si>
    <t>Ponderación fase</t>
  </si>
  <si>
    <t>Ponderación acumulada</t>
  </si>
  <si>
    <r>
      <t>1.</t>
    </r>
    <r>
      <rPr>
        <sz val="7"/>
        <color rgb="FF000000"/>
        <rFont val="Times New Roman"/>
        <family val="1"/>
      </rPr>
      <t xml:space="preserve"> </t>
    </r>
    <r>
      <rPr>
        <sz val="9"/>
        <color rgb="FF000000"/>
        <rFont val="Calibri"/>
        <family val="2"/>
        <scheme val="minor"/>
      </rPr>
      <t>Procesos formales previos</t>
    </r>
  </si>
  <si>
    <r>
      <t>2.</t>
    </r>
    <r>
      <rPr>
        <sz val="7"/>
        <color rgb="FF000000"/>
        <rFont val="Times New Roman"/>
        <family val="1"/>
      </rPr>
      <t xml:space="preserve"> </t>
    </r>
    <r>
      <rPr>
        <sz val="9"/>
        <color rgb="FF000000"/>
        <rFont val="Calibri"/>
        <family val="2"/>
        <scheme val="minor"/>
      </rPr>
      <t>Fase de Aprestamiento</t>
    </r>
  </si>
  <si>
    <r>
      <t>3.</t>
    </r>
    <r>
      <rPr>
        <sz val="7"/>
        <color rgb="FF000000"/>
        <rFont val="Times New Roman"/>
        <family val="1"/>
      </rPr>
      <t xml:space="preserve"> </t>
    </r>
    <r>
      <rPr>
        <sz val="9"/>
        <color rgb="FF000000"/>
        <rFont val="Calibri"/>
        <family val="2"/>
        <scheme val="minor"/>
      </rPr>
      <t>Fase Diagnóstico</t>
    </r>
  </si>
  <si>
    <r>
      <t>4.</t>
    </r>
    <r>
      <rPr>
        <sz val="7"/>
        <color rgb="FF000000"/>
        <rFont val="Times New Roman"/>
        <family val="1"/>
      </rPr>
      <t xml:space="preserve"> </t>
    </r>
    <r>
      <rPr>
        <sz val="9"/>
        <color rgb="FF000000"/>
        <rFont val="Calibri"/>
        <family val="2"/>
        <scheme val="minor"/>
      </rPr>
      <t>Fase de Prospectiva y Zonificación Ambiental</t>
    </r>
  </si>
  <si>
    <r>
      <t>5.</t>
    </r>
    <r>
      <rPr>
        <sz val="7"/>
        <color rgb="FF000000"/>
        <rFont val="Times New Roman"/>
        <family val="1"/>
      </rPr>
      <t xml:space="preserve"> </t>
    </r>
    <r>
      <rPr>
        <sz val="9"/>
        <color rgb="FF000000"/>
        <rFont val="Calibri"/>
        <family val="2"/>
        <scheme val="minor"/>
      </rPr>
      <t>Fase de Formulación</t>
    </r>
  </si>
  <si>
    <r>
      <t>1.</t>
    </r>
    <r>
      <rPr>
        <sz val="7"/>
        <color rgb="FF000000"/>
        <rFont val="Times New Roman"/>
        <family val="1"/>
      </rPr>
      <t xml:space="preserve">                </t>
    </r>
    <r>
      <rPr>
        <sz val="9"/>
        <color rgb="FF000000"/>
        <rFont val="Calibri"/>
        <family val="2"/>
        <scheme val="minor"/>
      </rPr>
      <t xml:space="preserve">Fase de Aprestamiento </t>
    </r>
  </si>
  <si>
    <r>
      <t>2.</t>
    </r>
    <r>
      <rPr>
        <sz val="7"/>
        <color rgb="FF000000"/>
        <rFont val="Times New Roman"/>
        <family val="1"/>
      </rPr>
      <t xml:space="preserve">                </t>
    </r>
    <r>
      <rPr>
        <sz val="9"/>
        <color rgb="FF000000"/>
        <rFont val="Calibri"/>
        <family val="2"/>
        <scheme val="minor"/>
      </rPr>
      <t>Fase Diagnóstico</t>
    </r>
  </si>
  <si>
    <r>
      <t>3.</t>
    </r>
    <r>
      <rPr>
        <sz val="7"/>
        <color rgb="FF000000"/>
        <rFont val="Times New Roman"/>
        <family val="1"/>
      </rPr>
      <t xml:space="preserve">                </t>
    </r>
    <r>
      <rPr>
        <sz val="9"/>
        <color rgb="FF000000"/>
        <rFont val="Calibri"/>
        <family val="2"/>
        <scheme val="minor"/>
      </rPr>
      <t>Fase de Formulación</t>
    </r>
  </si>
  <si>
    <r>
      <t>Plan de Manejo de Microcuencas</t>
    </r>
    <r>
      <rPr>
        <sz val="9"/>
        <color rgb="FF000000"/>
        <rFont val="Calibri"/>
        <family val="2"/>
        <scheme val="minor"/>
      </rPr>
      <t xml:space="preserve"> </t>
    </r>
  </si>
  <si>
    <r>
      <t>1.</t>
    </r>
    <r>
      <rPr>
        <sz val="7"/>
        <color rgb="FF000000"/>
        <rFont val="Times New Roman"/>
        <family val="1"/>
      </rPr>
      <t xml:space="preserve">                </t>
    </r>
    <r>
      <rPr>
        <sz val="9"/>
        <color rgb="FF000000"/>
        <rFont val="Calibri"/>
        <family val="2"/>
        <scheme val="minor"/>
      </rPr>
      <t>Fase de Aprestamiento</t>
    </r>
  </si>
  <si>
    <r>
      <t>Porcentaje de avance de la meta anual en la formulación de cada plan</t>
    </r>
    <r>
      <rPr>
        <sz val="9"/>
        <color rgb="FF000000"/>
        <rFont val="Calibri"/>
        <family val="2"/>
        <scheme val="minor"/>
      </rPr>
      <t xml:space="preserve"> (ejemplo: POMCA de Cuenca Río Frío)</t>
    </r>
  </si>
  <si>
    <t>Es resultado del cociente entre el avance en la formulación de cada plan y la meta anual en la formulación de un determinado plan, al cierre de cada vigencia.</t>
  </si>
  <si>
    <t xml:space="preserve"> * 100</t>
  </si>
  <si>
    <r>
      <t xml:space="preserve">PAMAP </t>
    </r>
    <r>
      <rPr>
        <vertAlign val="subscript"/>
        <sz val="9"/>
        <color rgb="FF000000"/>
        <rFont val="Calibri"/>
        <family val="2"/>
        <scheme val="minor"/>
      </rPr>
      <t>zt</t>
    </r>
    <r>
      <rPr>
        <sz val="9"/>
        <color rgb="FF000000"/>
        <rFont val="Calibri"/>
        <family val="2"/>
        <scheme val="minor"/>
      </rPr>
      <t xml:space="preserve"> = Porcentaje de avance de la meta anual del Plan z, en el tiempo t.</t>
    </r>
  </si>
  <si>
    <r>
      <t xml:space="preserve">PAFP </t>
    </r>
    <r>
      <rPr>
        <vertAlign val="subscript"/>
        <sz val="9"/>
        <color rgb="FF000000"/>
        <rFont val="Calibri"/>
        <family val="2"/>
        <scheme val="minor"/>
      </rPr>
      <t>zt</t>
    </r>
    <r>
      <rPr>
        <sz val="9"/>
        <color rgb="FF000000"/>
        <rFont val="Calibri"/>
        <family val="2"/>
        <scheme val="minor"/>
      </rPr>
      <t xml:space="preserve"> = Porcentaje de avance en la formulación del Plan z, en el tiempo t.</t>
    </r>
  </si>
  <si>
    <r>
      <t>MFP</t>
    </r>
    <r>
      <rPr>
        <vertAlign val="subscript"/>
        <sz val="9"/>
        <color rgb="FF000000"/>
        <rFont val="Calibri"/>
        <family val="2"/>
        <scheme val="minor"/>
      </rPr>
      <t xml:space="preserve"> zt</t>
    </r>
    <r>
      <rPr>
        <sz val="9"/>
        <color rgb="FF000000"/>
        <rFont val="Calibri"/>
        <family val="2"/>
        <scheme val="minor"/>
      </rPr>
      <t xml:space="preserve"> = Meta anual de avance (%) en la formulación del plan z, en el tiempo t.</t>
    </r>
  </si>
  <si>
    <r>
      <t xml:space="preserve">Porcentaje promedio de avance anual en la formulación de los planes </t>
    </r>
    <r>
      <rPr>
        <sz val="9"/>
        <color rgb="FF000000"/>
        <rFont val="Calibri"/>
        <family val="2"/>
        <scheme val="minor"/>
      </rPr>
      <t>(ejemplo: los POMCAS priorizados para el cuatrienio)</t>
    </r>
  </si>
  <si>
    <t>El cálculo del Porcentaje promedio de avance anual en la formulación de los planes se obtiene de la siguiente manera:</t>
  </si>
  <si>
    <r>
      <t xml:space="preserve">PPAP </t>
    </r>
    <r>
      <rPr>
        <vertAlign val="subscript"/>
        <sz val="9"/>
        <color rgb="FF000000"/>
        <rFont val="Calibri"/>
        <family val="2"/>
        <scheme val="minor"/>
      </rPr>
      <t>it</t>
    </r>
    <r>
      <rPr>
        <sz val="9"/>
        <color rgb="FF000000"/>
        <rFont val="Calibri"/>
        <family val="2"/>
        <scheme val="minor"/>
      </rPr>
      <t xml:space="preserve"> = Porcentaje promedio de avance anual en la formulación de los planes i, en el tiempo t.</t>
    </r>
  </si>
  <si>
    <r>
      <t xml:space="preserve">PAMAP </t>
    </r>
    <r>
      <rPr>
        <vertAlign val="subscript"/>
        <sz val="9"/>
        <color rgb="FF000000"/>
        <rFont val="Calibri"/>
        <family val="2"/>
        <scheme val="minor"/>
      </rPr>
      <t>zt</t>
    </r>
    <r>
      <rPr>
        <sz val="9"/>
        <color rgb="FF000000"/>
        <rFont val="Calibri"/>
        <family val="2"/>
        <scheme val="minor"/>
      </rPr>
      <t xml:space="preserve"> = Porcentaje de avance de la meta anual en la formulación del Plan z, en el tiempo t.</t>
    </r>
  </si>
  <si>
    <r>
      <t xml:space="preserve">N </t>
    </r>
    <r>
      <rPr>
        <vertAlign val="subscript"/>
        <sz val="9"/>
        <color rgb="FF000000"/>
        <rFont val="Calibri"/>
        <family val="2"/>
        <scheme val="minor"/>
      </rPr>
      <t>t</t>
    </r>
    <r>
      <rPr>
        <sz val="9"/>
        <color rgb="FF000000"/>
        <rFont val="Calibri"/>
        <family val="2"/>
        <scheme val="minor"/>
      </rPr>
      <t xml:space="preserve"> = número total de planes en el tiempo t</t>
    </r>
  </si>
  <si>
    <r>
      <t xml:space="preserve">i = </t>
    </r>
    <r>
      <rPr>
        <sz val="9"/>
        <color rgb="FF000000"/>
        <rFont val="Calibri"/>
        <family val="2"/>
        <scheme val="minor"/>
      </rPr>
      <t>Planes de Ordenación y Manejo de Cuencas (POMCAS), Planes de Manejo de Acuíferos (PMA) y Planes de Manejo de Microcuencas (PMM)</t>
    </r>
    <r>
      <rPr>
        <i/>
        <sz val="9"/>
        <color rgb="FF000000"/>
        <rFont val="Calibri"/>
        <family val="2"/>
        <scheme val="minor"/>
      </rPr>
      <t xml:space="preserve"> </t>
    </r>
  </si>
  <si>
    <t>Número total de cuerpos de agua sujeto de reglamentación de planes de ordenamiento del recurso hídrico (PORH):</t>
  </si>
  <si>
    <t>Número total de cuerpos de agua sujeto de reglamentación de planes de ordenamiento del recurso hídrico (PORH) adoptados a 31/12/2023:</t>
  </si>
  <si>
    <t>Número total de Cuerpos de agua con plan de ordenamiento del recurso hídrico (PORH) priorizados por la Corporación para su adopción durante el cuatrienio:</t>
  </si>
  <si>
    <t>Variable</t>
  </si>
  <si>
    <t>Total</t>
  </si>
  <si>
    <t>A</t>
  </si>
  <si>
    <t>Meta de cuerpos de agua con planes de ordenamiento del recurso hídrico (PORH) adoptados MPORHA</t>
  </si>
  <si>
    <t>B</t>
  </si>
  <si>
    <t>Número de cuerpos de agua con planes de ordenamiento del recurso hídrico adoptados (PORHA)</t>
  </si>
  <si>
    <t>C</t>
  </si>
  <si>
    <t>Porcentaje de Cuerpos de agua con planes de ordenamiento del recurso hídrico adoptados (PPORHA) (C = B / A)</t>
  </si>
  <si>
    <t>Cuanto más cercano a cien por ciento, mayor es el cumplimiento de las metas que la autoridad ambiental se ha propuesto alcanzar en relación con el número de cuerpos de agua con planes de ordenamiento del recurso hídrico (PORH) adoptados.</t>
  </si>
  <si>
    <t>Se pueden presentar situaciones de orden operativo, político y social que pueden afectar la ejecución de los presupuestos y el cumplimiento de los cronogramas definidos en el Plan de Acción de la Corporación.</t>
  </si>
  <si>
    <t>Dirección de Ordenamiento Territorial y Coordinación del Sistema Ambiental - SINA</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</si>
  <si>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Cuerpos de agua con planes de ordenamiento del recurso hídrico (PORH) adoptados (Versión 1.0).</t>
    </r>
    <r>
      <rPr>
        <sz val="9"/>
        <color rgb="FF000000"/>
        <rFont val="Calibri"/>
        <family val="2"/>
        <scheme val="minor"/>
      </rPr>
      <t xml:space="preserve"> Ministerio de Ambiente y Desarrollo Sostenible, DGOAT-SINA y DRH.</t>
    </r>
  </si>
  <si>
    <t>Es la relación entre el número de cuerpos de agua con planes de ordenamiento del recurso hídrico (PORH) adoptados y la meta de cuerpos de agua priorizados para la adopción de dichos planes por parte de la autoridad ambiental.</t>
  </si>
  <si>
    <t>El indicador mide el cumplimiento de las metas que la autoridad ambiental se ha propuesto alcanzar en relación con el número de cuerpos de agua con planes de ordenamiento del recurso hídrico (PORH) adoptados.</t>
  </si>
  <si>
    <t>Normatividad relacionada:</t>
  </si>
  <si>
    <t>Decreto Ley 2811/74, Decreto-Ley 1875 de 1979</t>
  </si>
  <si>
    <t>Ley 99 de 1993. Ley Marco del Medio Ambiente.</t>
  </si>
  <si>
    <t>Decreto 1076 de 2015,</t>
  </si>
  <si>
    <t>Resolución 509 de 2013. Define los lineamientos para la conformación de los Consejos de Cuenca y su participación en las fases del plan de ordenación y manejo de la cuenca</t>
  </si>
  <si>
    <t>Resolución 1907 de 2013. Expide la Guía técnica para la formulación de los planes de ordenación y manejo de cuencas hidrográficas.</t>
  </si>
  <si>
    <t>Resolución 1207 de 2014. Adopta disposiciones relacionadas con el uso de aguas residuales tratadas.</t>
  </si>
  <si>
    <t>Documentación de referencia:</t>
  </si>
  <si>
    <t>Política Nacional de Gestión Integral del Recurso Hídrico – PNGIRH.</t>
  </si>
  <si>
    <t>El Plan de Ordenamiento del Recurso Hídrico- PORH es el instrumento de planificación que se rige por lo dispuesto en el Decreto 1076 de 2015.</t>
  </si>
  <si>
    <r>
      <t xml:space="preserve">PPORHA </t>
    </r>
    <r>
      <rPr>
        <vertAlign val="subscript"/>
        <sz val="9"/>
        <color rgb="FF000000"/>
        <rFont val="Calibri"/>
        <family val="2"/>
        <scheme val="minor"/>
      </rPr>
      <t>t</t>
    </r>
    <r>
      <rPr>
        <sz val="9"/>
        <color rgb="FF000000"/>
        <rFont val="Calibri"/>
        <family val="2"/>
        <scheme val="minor"/>
      </rPr>
      <t xml:space="preserve"> = Porcentaje de cuerpos de agua con planes de ordenamiento del recurso hídrico (PORH) adoptados, en el tiempo t.</t>
    </r>
  </si>
  <si>
    <r>
      <t xml:space="preserve">PORHA </t>
    </r>
    <r>
      <rPr>
        <vertAlign val="subscript"/>
        <sz val="9"/>
        <color rgb="FF000000"/>
        <rFont val="Calibri"/>
        <family val="2"/>
        <scheme val="minor"/>
      </rPr>
      <t>t</t>
    </r>
    <r>
      <rPr>
        <sz val="9"/>
        <color rgb="FF000000"/>
        <rFont val="Calibri"/>
        <family val="2"/>
        <scheme val="minor"/>
      </rPr>
      <t xml:space="preserve"> = Número de Cuerpos de agua con planes de ordenamiento del recurso hídrico adoptados, en el tiempo t.</t>
    </r>
  </si>
  <si>
    <r>
      <t xml:space="preserve">MPORHA </t>
    </r>
    <r>
      <rPr>
        <vertAlign val="subscript"/>
        <sz val="9"/>
        <color rgb="FF000000"/>
        <rFont val="Calibri"/>
        <family val="2"/>
        <scheme val="minor"/>
      </rPr>
      <t>t</t>
    </r>
    <r>
      <rPr>
        <sz val="9"/>
        <color rgb="FF000000"/>
        <rFont val="Calibri"/>
        <family val="2"/>
        <scheme val="minor"/>
      </rPr>
      <t xml:space="preserve"> = Meta de Cuerpos de agua con plan de ordenamiento del recurso hídrico adoptados, en el tiempo t.</t>
    </r>
  </si>
  <si>
    <t>La meta de número de cuerpos de agua con planes de ordenamiento del recurso hídrico adoptados es establecida en el Plan de Acción de la Corporación.</t>
  </si>
  <si>
    <t>Número total de Planes de Saneamiento y Manejo de Vertimientos (PSMV) aprobados por la Corporación:</t>
  </si>
  <si>
    <t>Número total de Planes de Saneamiento y Manejo de Vertimientos (PSMV) priorizados por la Corporación para hacer seguimiento en el cuatrienio:</t>
  </si>
  <si>
    <t>Meta de Planes de Saneamiento y Manejo de Vertimientos (PSMV) con seguimiento MPSMVCS</t>
  </si>
  <si>
    <t>Número de Planes de Saneamiento y Manejo de Vertimientos con seguimiento (PSMVCS)</t>
  </si>
  <si>
    <t>Porcentaje de Planes de Saneamiento y Manejo de Vertimientos con seguimiento (PPSMVCS) (C = B / A)</t>
  </si>
  <si>
    <t>Cuanto más cercano a cien por ciento, mayor es el cumplimiento de las metas que la autoridad ambiental se ha propuesto alcanzar en relación con el seguimiento a los Planes de Saneamiento y Manejo de Vertimientos (PSMV)</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</si>
  <si>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Planes de Saneamiento y Manejo de Vertimientos (PSMV) con seguimiento (Versión 1.0).</t>
    </r>
    <r>
      <rPr>
        <sz val="9"/>
        <color rgb="FF000000"/>
        <rFont val="Calibri"/>
        <family val="2"/>
        <scheme val="minor"/>
      </rPr>
      <t xml:space="preserve"> Ministerio de Ambiente y Desarrollo Sostenible, DGOAT-SINA y DRH.</t>
    </r>
  </si>
  <si>
    <t>Es la relación entre el número de Planes de Saneamiento y Manejo de Vertimientos (PSMV) con seguimiento con respecto a la meta de seguimiento de dichos planes por parte de la autoridad ambiental.</t>
  </si>
  <si>
    <t>El indicador mide el cumplimiento de las metas que la autoridad ambiental se ha propuesto alcanzar en relación con el seguimiento a los Planes de Saneamiento y Manejo de Vertimientos (PSMV).</t>
  </si>
  <si>
    <t>Decreto 1076 de 2015</t>
  </si>
  <si>
    <t>Resolución SSPD 20151300054195 de 2015</t>
  </si>
  <si>
    <t>Resolución 1433 de 2004 del MAVDT</t>
  </si>
  <si>
    <t>Resolución 2145 de 2005 de MAVDT</t>
  </si>
  <si>
    <t>El prestador del servicio de alcantarillado como usuario del recurso hídrico, deberá dar cumplimiento a la norma de vertimiento vigente y contar con el respectivo permiso de vertimiento o con el Plan de Saneamiento y Manejo de Vertimientos – PSMV reglamentado por la Resolución 1433 de 2004 del Ministerio de Ambiente y Desarrollo Sostenible.</t>
  </si>
  <si>
    <t>Por su parte, las autoridades ambientales deberán realizar el seguimiento, control y verificación del cumplimiento de lo dispuesto en los permisos de vertimiento, los Planes de Cumplimiento y Planes de Saneamiento y Manejo de Vertimientos, y efectuarán inspecciones periódicas a todos los usuarios.</t>
  </si>
  <si>
    <t>El incumplimiento de los términos, condiciones y obligaciones previstos en el permiso de vertimiento, Plan de Cumplimiento o Plan de Saneamiento y Manejo de Vertimientos, dará lugar a la imposición de las medidas preventivas y sancionatorias, siguiendo el procedimiento previsto en la Ley 1333 de 2009 o la norma que la adicione, modifique o sustituya.</t>
  </si>
  <si>
    <r>
      <t xml:space="preserve">PPSMVCS </t>
    </r>
    <r>
      <rPr>
        <vertAlign val="subscript"/>
        <sz val="9"/>
        <color rgb="FF000000"/>
        <rFont val="Calibri"/>
        <family val="2"/>
        <scheme val="minor"/>
      </rPr>
      <t>t</t>
    </r>
    <r>
      <rPr>
        <sz val="9"/>
        <color rgb="FF000000"/>
        <rFont val="Calibri"/>
        <family val="2"/>
        <scheme val="minor"/>
      </rPr>
      <t xml:space="preserve"> = Porcentaje de Planes de Saneamiento y Manejo de Vertimientos (PSMV) con seguimiento, en el tiempo t.</t>
    </r>
  </si>
  <si>
    <r>
      <t xml:space="preserve">PSMVCS </t>
    </r>
    <r>
      <rPr>
        <vertAlign val="subscript"/>
        <sz val="9"/>
        <color rgb="FF000000"/>
        <rFont val="Calibri"/>
        <family val="2"/>
        <scheme val="minor"/>
      </rPr>
      <t>t</t>
    </r>
    <r>
      <rPr>
        <sz val="9"/>
        <color rgb="FF000000"/>
        <rFont val="Calibri"/>
        <family val="2"/>
        <scheme val="minor"/>
      </rPr>
      <t xml:space="preserve"> = Número de Planes de Saneamiento y Manejo de Vertimientos con seguimiento, en el tiempo t.</t>
    </r>
  </si>
  <si>
    <r>
      <t xml:space="preserve">MPSMVCS </t>
    </r>
    <r>
      <rPr>
        <vertAlign val="subscript"/>
        <sz val="9"/>
        <color rgb="FF000000"/>
        <rFont val="Calibri"/>
        <family val="2"/>
        <scheme val="minor"/>
      </rPr>
      <t>t</t>
    </r>
    <r>
      <rPr>
        <sz val="9"/>
        <color rgb="FF000000"/>
        <rFont val="Calibri"/>
        <family val="2"/>
        <scheme val="minor"/>
      </rPr>
      <t xml:space="preserve"> = Meta de Planes de Saneamiento y Manejo de Vertimientos con seguimiento, en el tiempo t.</t>
    </r>
  </si>
  <si>
    <t>La meta de número de Planes de Saneamiento y Manejo de Vertimientos sujetos a seguimiento es establecida en el Plan de Acción de la Corporación.</t>
  </si>
  <si>
    <t>Número total de cuerpos de agua sujeto de reglamentación del uso de las aguas:</t>
  </si>
  <si>
    <t>Número total de cuerpos de agua con reglamentación del uso de las aguas a 31/12/2023:</t>
  </si>
  <si>
    <t>Número total de cuerpos de agua a ser reglamentados en su uso de las aguas durante el cuatrienio:</t>
  </si>
  <si>
    <t>Meta de cuerpos de agua con reglamentación del uso de las aguas (MRUA)</t>
  </si>
  <si>
    <t>Número de cuerpos de agua con reglamentación del uso de las aguas (RUA)</t>
  </si>
  <si>
    <t>Porcentaje de Cuerpos de agua con reglamentación del uso de las aguas (PRUA) (C = B / A)</t>
  </si>
  <si>
    <t>Cuanto más cercano a cien por ciento, mayor es el cumplimiento de las metas que la autoridad ambiental se ha propuesto alcanzar en relación con el número de cuerpos de agua con reglamentación del uso de las aguas.</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</si>
  <si>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Cuerpos de agua con reglamentación del uso de las aguas (Versión 1.0).</t>
    </r>
    <r>
      <rPr>
        <sz val="9"/>
        <color rgb="FF000000"/>
        <rFont val="Calibri"/>
        <family val="2"/>
        <scheme val="minor"/>
      </rPr>
      <t xml:space="preserve"> Ministerio de Ambiente y Desarrollo Sostenible, DGOAT-SINA y DRH.</t>
    </r>
  </si>
  <si>
    <t>Es la relación entre el número de cuerpos de agua con reglamentación del uso de las aguas y la meta de cuerpos de agua a ser reglamentados en su uso de las aguas por parte de la autoridad ambiental.</t>
  </si>
  <si>
    <t>El indicador mide el cumplimiento de las metas que la autoridad ambiental se ha propuesto alcanzar en relación con el número de cuerpos de agua con reglamentación del uso de las aguas.</t>
  </si>
  <si>
    <t>La reglamentación del uso de las aguas es un instrumento que busca distribuir adecuadamente el agua en las corrientes hídricas, establecer obras de captación y conducción para el uso racional del recurso hídrico, legalizar el uso del agua, incentivar un manejo responsable del caudal otorgado y un uso eficiente del recurso.</t>
  </si>
  <si>
    <t>Así mismo el decreto 1076 de 2015, precisa que: “en todo caso, el Plan de Ordenamiento del Recurso Hídrico deberá definir la conveniencia de adelantar la reglamentación del uso de las aguas, de conformidad con lo establecido en el artículo 2.2.3.2.13.2 del presente Decreto o la norma que lo modifique o sustituya, y la reglamentación de vertimientos según lo dispuesto en el presente decreto o de administrar el cuerpo de agua a través de concesiones de agua y permisos de vertimiento. Así mismo, dará lugar al ajuste de la reglamentación del uso de las aguas, de la reglamentación de vertimientos, de las concesiones, de los permisos de vertimiento, de los planes de cumplimiento y de los planes de saneamiento y manejo de vertimientos y de las metas de reducción, según el caso.”</t>
  </si>
  <si>
    <t>De lo anterior se concluye que adelantar los procedimientos mencionados obedecerá a los resultados de los análisis elaborados en el PORH.</t>
  </si>
  <si>
    <r>
      <t xml:space="preserve">PRUA </t>
    </r>
    <r>
      <rPr>
        <vertAlign val="subscript"/>
        <sz val="9"/>
        <color rgb="FF000000"/>
        <rFont val="Calibri"/>
        <family val="2"/>
        <scheme val="minor"/>
      </rPr>
      <t>t</t>
    </r>
    <r>
      <rPr>
        <sz val="9"/>
        <color rgb="FF000000"/>
        <rFont val="Calibri"/>
        <family val="2"/>
        <scheme val="minor"/>
      </rPr>
      <t xml:space="preserve"> = Porcentaje de cuerpos de agua con reglamentación del uso de las aguas, en el tiempo t.</t>
    </r>
  </si>
  <si>
    <r>
      <t xml:space="preserve">RUA </t>
    </r>
    <r>
      <rPr>
        <vertAlign val="subscript"/>
        <sz val="9"/>
        <color rgb="FF000000"/>
        <rFont val="Calibri"/>
        <family val="2"/>
        <scheme val="minor"/>
      </rPr>
      <t>t</t>
    </r>
    <r>
      <rPr>
        <sz val="9"/>
        <color rgb="FF000000"/>
        <rFont val="Calibri"/>
        <family val="2"/>
        <scheme val="minor"/>
      </rPr>
      <t xml:space="preserve"> = Número de cuerpos de agua con reglamentación del uso de las aguas, en el tiempo t.</t>
    </r>
  </si>
  <si>
    <r>
      <t xml:space="preserve">MRUA </t>
    </r>
    <r>
      <rPr>
        <vertAlign val="subscript"/>
        <sz val="9"/>
        <color rgb="FF000000"/>
        <rFont val="Calibri"/>
        <family val="2"/>
        <scheme val="minor"/>
      </rPr>
      <t>t</t>
    </r>
    <r>
      <rPr>
        <sz val="9"/>
        <color rgb="FF000000"/>
        <rFont val="Calibri"/>
        <family val="2"/>
        <scheme val="minor"/>
      </rPr>
      <t xml:space="preserve"> = Meta de número de cuerpos de agua con reglamentación del uso de las aguas, en el tiempo t.</t>
    </r>
  </si>
  <si>
    <t>La meta de número de cuerpos de agua con reglamentación del uso de las aguas es establecida en el Plan de Acción de la Corporación.</t>
  </si>
  <si>
    <t>Número total de Programas de Uso Eficiente y Ahorro del Agua (PUEAA) aprobados por la Corporación a 31/12/2023:</t>
  </si>
  <si>
    <t>Número total de Programas de Uso Eficiente y Ahorro del Agua (PUEAA) priorizados por la Corporación para hacer seguimiento en el cuatrienio:</t>
  </si>
  <si>
    <t>Meta de Programas de Uso Eficiente y Ahorro del Agua (PUEAA) con seguimiento MPUEAACS</t>
  </si>
  <si>
    <t>Número de Programas de Uso Eficiente y Ahorro del Agua con seguimiento (PPUEAACS)</t>
  </si>
  <si>
    <t>Porcentaje de Programas de Uso Eficiente y Ahorro del Agua con seguimiento (PPUEAACS) (C = B / A)</t>
  </si>
  <si>
    <t>Cuanto más cercano a cien por ciento, mayor es el cumplimiento de las metas que la autoridad ambiental se ha propuesto alcanzar en relación con el seguimiento a los Programas de Uso Eficiente y Ahorro del Agua (PUEAA)</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</si>
  <si>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Programas de Uso Eficiente y Ahorro del Agua (PUEAA) con seguimiento (Versión 1.0).</t>
    </r>
    <r>
      <rPr>
        <sz val="9"/>
        <color rgb="FF000000"/>
        <rFont val="Calibri"/>
        <family val="2"/>
        <scheme val="minor"/>
      </rPr>
      <t xml:space="preserve"> Ministerio de Ambiente y Desarrollo Sostenible, DGOAT-SINA y DRH.</t>
    </r>
  </si>
  <si>
    <t>Es la relación entre el número de Programas de Uso Eficiente y Ahorro del Agua (PUEAA) con seguimiento con respecto a la meta de seguimiento de dichos planes por parte de la autoridad ambiental.</t>
  </si>
  <si>
    <t>El indicador mide el cumplimiento de las metas que la autoridad ambiental se ha propuesto alcanzar en relación con el seguimiento a los Programas de Uso Eficiente y Ahorro del Agua (PUEAA).</t>
  </si>
  <si>
    <t>Ley 1437 de 2011</t>
  </si>
  <si>
    <t>Ley 373 de 1997</t>
  </si>
  <si>
    <t>Ley 1450 de 2011 (literal h del artículo 215) (vigente)</t>
  </si>
  <si>
    <t>La Ley 373 de 1997 define por programa para el uso eficiente y ahorro de agua el conjunto de proyectos y acciones que deben elaborar y adoptar las entidades encargadas de la prestación de los servicios de acueducto, alcantarillado, riego y drenaje, producción hidroeléctrica y demás usuarios del recurso hídrico. Así mismo, la mencionada Ley establece que todo plan ambiental regional y municipal debe incorporar obligatoriamente un programa para el uso eficiente y ahorro de agua.</t>
  </si>
  <si>
    <t>Adicionalmente, la citada Ley determina que las Corporaciones Autónomas Regionales y demás autoridades ambientales encargadas del manejo, protección y control del recurso hídrico en su respectiva jurisdicción, aprobarán la implantación y ejecución de dichos programas en coordinación con otras corporaciones autónomas que compartan las fuentes que abastecen los diferentes usos.</t>
  </si>
  <si>
    <t>El Programa de Uso Eficiente y Ahorro del Agua (PUEAA) es quinquenal y deberá estar basado en el diagnóstico de la oferta hídrica de las fuentes de abastecimiento y la demanda de agua, y contener las metas anuales de reducción de pérdidas, las campañas educativas a la comunidad, la utilización de aguas superficiales, lluvias y subterráneas, los incentivos y otros aspectos que definan las Corporaciones Autónomas Regionales y demás autoridades ambientales, las entidades prestadoras de los servicios de acueducto y alcantarillado, las que manejen proyectos de riego y drenaje, las hidroeléctricas y demás usuarios del recurso, que se consideren convenientes para el cumplimiento del programa.</t>
  </si>
  <si>
    <t>Por su parte, el literal h del artículo 215 de la Ley 1450 de 2011 (vigente) estableció la competencia de las corporaciones autónomas regionales en el seguimiento a los Planes de Uso Eficiente y Ahorro del Agua.</t>
  </si>
  <si>
    <r>
      <t xml:space="preserve">PPUEAACS </t>
    </r>
    <r>
      <rPr>
        <vertAlign val="subscript"/>
        <sz val="9"/>
        <color rgb="FF000000"/>
        <rFont val="Calibri"/>
        <family val="2"/>
        <scheme val="minor"/>
      </rPr>
      <t>t</t>
    </r>
    <r>
      <rPr>
        <sz val="9"/>
        <color rgb="FF000000"/>
        <rFont val="Calibri"/>
        <family val="2"/>
        <scheme val="minor"/>
      </rPr>
      <t xml:space="preserve"> = Porcentaje de Programas de Uso Eficiente y Ahorro del Agua (PUEAA) con seguimiento, en el tiempo t.</t>
    </r>
  </si>
  <si>
    <r>
      <t xml:space="preserve">PUEAACS </t>
    </r>
    <r>
      <rPr>
        <vertAlign val="subscript"/>
        <sz val="9"/>
        <color rgb="FF000000"/>
        <rFont val="Calibri"/>
        <family val="2"/>
        <scheme val="minor"/>
      </rPr>
      <t>t</t>
    </r>
    <r>
      <rPr>
        <sz val="9"/>
        <color rgb="FF000000"/>
        <rFont val="Calibri"/>
        <family val="2"/>
        <scheme val="minor"/>
      </rPr>
      <t xml:space="preserve"> = Número de Programas de Uso Eficiente y Ahorro del Agua con seguimiento, en el tiempo t.</t>
    </r>
  </si>
  <si>
    <r>
      <t xml:space="preserve">MPUEAACS </t>
    </r>
    <r>
      <rPr>
        <vertAlign val="subscript"/>
        <sz val="9"/>
        <color rgb="FF000000"/>
        <rFont val="Calibri"/>
        <family val="2"/>
        <scheme val="minor"/>
      </rPr>
      <t>t</t>
    </r>
    <r>
      <rPr>
        <sz val="9"/>
        <color rgb="FF000000"/>
        <rFont val="Calibri"/>
        <family val="2"/>
        <scheme val="minor"/>
      </rPr>
      <t xml:space="preserve"> = Meta de Programas de Uso Eficiente y Ahorro del Agua con seguimiento, en el tiempo t.</t>
    </r>
  </si>
  <si>
    <t>La meta de número de Programas de Uso Eficiente y Ahorro del Agua sujetos a seguimiento es establecida en el Plan de Acción de la Corporación.</t>
  </si>
  <si>
    <t>Reporte de ejecución de POMCAS, PMA y PMM</t>
  </si>
  <si>
    <t>Número / Año</t>
  </si>
  <si>
    <t>Número de POMCAS aprobados</t>
  </si>
  <si>
    <t>Número de POMCAS en ejecución</t>
  </si>
  <si>
    <t>Número de PMA aprobados</t>
  </si>
  <si>
    <t>D</t>
  </si>
  <si>
    <t>Número de PMA en ejecución</t>
  </si>
  <si>
    <t>E</t>
  </si>
  <si>
    <t>Número de PMM aprobados</t>
  </si>
  <si>
    <t>F</t>
  </si>
  <si>
    <t>Número de PMM en ejecución</t>
  </si>
  <si>
    <t>G</t>
  </si>
  <si>
    <t>Porcentaje de POMCAS en ejecución (G = B / A)</t>
  </si>
  <si>
    <t>H</t>
  </si>
  <si>
    <t>Porcentaje de PMA en ejecución (H = D /C)</t>
  </si>
  <si>
    <t>I</t>
  </si>
  <si>
    <t>Porcentaje de PMM en ejecución (I = F / E)</t>
  </si>
  <si>
    <t>Promedio de Planes en ejecución</t>
  </si>
  <si>
    <t>Indicador complementario:</t>
  </si>
  <si>
    <t>Ejecución presupuestal de acciones relacionadas con la implementación de los POMCAS, PMA y PMM</t>
  </si>
  <si>
    <t>Nombre de acción / proyecto (*)</t>
  </si>
  <si>
    <t>Plan</t>
  </si>
  <si>
    <t>PPTO Inicial</t>
  </si>
  <si>
    <t>PPTO. Def.</t>
  </si>
  <si>
    <t>Compromisos</t>
  </si>
  <si>
    <t>Pagos</t>
  </si>
  <si>
    <t>(*) nombre del proyecto o actividad en el Plan de Acción de la Corporación. Utilice tantas filas cuantas sean necesarias</t>
  </si>
  <si>
    <t>Cuanto más cercano a cien por ciento, mayor es el cumplimiento de las metas establecidas en relación con la implementación de los Planes de Ordenación y Manejo de Cuencas (POMCAS), Planes de Manejo de Acuíferos (PMA) y Planes de Manejo de Microcuencas (PMM) aprobados.</t>
  </si>
  <si>
    <t>Se pueden presentar situaciones de orden operativo, político y social que pueden afectar los cronogramas definidos.</t>
  </si>
  <si>
    <r>
      <t>Hoja Metodológica de referencia:</t>
    </r>
    <r>
      <rPr>
        <sz val="9"/>
        <color rgb="FF000000"/>
        <rFont val="Calibri"/>
        <family val="2"/>
        <scheme val="minor"/>
      </rPr>
      <t xml:space="preserve"> MADS (2016). </t>
    </r>
    <r>
      <rPr>
        <i/>
        <sz val="9"/>
        <color rgb="FF000000"/>
        <rFont val="Calibri"/>
        <family val="2"/>
        <scheme val="minor"/>
      </rPr>
      <t>Hoja metodológica de Planes de Ordenación y Manejo de Cuencas (POMCAS), Planes de Manejo de Acuíferos (PMA) y Planes de Manejo de Microcuencas (PMM) en ejecución (Versión 1.0).</t>
    </r>
    <r>
      <rPr>
        <sz val="9"/>
        <color rgb="FF000000"/>
        <rFont val="Calibri"/>
        <family val="2"/>
        <scheme val="minor"/>
      </rPr>
      <t xml:space="preserve"> Ministerio de Ambiente y Desarrollo Sostenible MADS, DGOAT-SINA y DRH.</t>
    </r>
  </si>
  <si>
    <t>Es el porcentaje de Planes de Ordenación y Manejo de Cuencas (POMCAS), Planes de Manejo de Acuíferos (PMA) y Planes de Manejo de Microcuencas (PMM) en ejecución, en relación con los Planes de Ordenación y Manejo de Cuencas (POMCAS), Planes de Manejo de Acuíferos (PMA) y Planes de Manejo de Microcuencas (PMM) aprobados en la corporación.</t>
  </si>
  <si>
    <t>El indicador mide el cumplimiento de las metas establecidas en relación con la ejecución de los Planes de Ordenación y Manejo de Cuencas (POMCAS), Planes de Manejo de Acuíferos (PMA) y Planes de Manejo de Microcuencas (PMM).</t>
  </si>
  <si>
    <t>Seguimiento a las metas del Plan Nacional de Desarrollo 2014-2018 (Planes Estratégicos de Macrocuenca, POMCA y PMA acuíferos en implementación)</t>
  </si>
  <si>
    <r>
      <t>Normatividad de soporte</t>
    </r>
    <r>
      <rPr>
        <sz val="9"/>
        <color rgb="FF000000"/>
        <rFont val="Calibri"/>
        <family val="2"/>
        <scheme val="minor"/>
      </rPr>
      <t>:</t>
    </r>
  </si>
  <si>
    <t>Resolución 1907 de 2013</t>
  </si>
  <si>
    <t>El Plan de Ordenación y manejo de Cuencas Hidrográficas (POMCA) es el instrumento a través del cual se realiza la planeación del adecuado uso del suelo, de las aguas, de la flora y la fauna; y el manejo de la cuenca, entendido como la ejecución de obras y tratamientos, con el propósito de mantener el equilibrio entre el aprovechamiento social y el aprovechamiento económico de tales recursos, así como la conservación de la estructura físico -biótica de la cuenca y particularmente del recurso hídrico.</t>
  </si>
  <si>
    <t>La implementación de los POMCAS es resultado de un esfuerzo conjunto de diversas instituciones presentes en la región. El indicador se centra en la implementación de las acciones previstas en los POMCAS que están a cargo de las corporaciones autónomas regionales, incluyendo el seguimiento por parte de la autoridad ambiental a los compromisos de las demás entidades responsables de la ejecución de los POMCAS.</t>
  </si>
  <si>
    <r>
      <t xml:space="preserve">PPEE </t>
    </r>
    <r>
      <rPr>
        <vertAlign val="subscript"/>
        <sz val="9"/>
        <color rgb="FF000000"/>
        <rFont val="Calibri"/>
        <family val="2"/>
        <scheme val="minor"/>
      </rPr>
      <t>t</t>
    </r>
    <r>
      <rPr>
        <sz val="9"/>
        <color rgb="FF000000"/>
        <rFont val="Calibri"/>
        <family val="2"/>
        <scheme val="minor"/>
      </rPr>
      <t xml:space="preserve"> = Porcentaje de Planes de Ordenación y Manejo de Cuencas (POMCAS), Planes de Manejo de Acuíferos (PMA) y Planes de Manejo de Microcuencas (PMM) en ejecución, en el tiempo t.</t>
    </r>
  </si>
  <si>
    <r>
      <t xml:space="preserve">PPOMCASEE </t>
    </r>
    <r>
      <rPr>
        <vertAlign val="subscript"/>
        <sz val="9"/>
        <color rgb="FF000000"/>
        <rFont val="Calibri"/>
        <family val="2"/>
        <scheme val="minor"/>
      </rPr>
      <t>t</t>
    </r>
    <r>
      <rPr>
        <sz val="9"/>
        <color rgb="FF000000"/>
        <rFont val="Calibri"/>
        <family val="2"/>
        <scheme val="minor"/>
      </rPr>
      <t xml:space="preserve"> = Porcentaje de Planes de Ordenación y Manejo de Cuencas (POMCAS) en ejecución, en el tiempo t.</t>
    </r>
  </si>
  <si>
    <r>
      <t xml:space="preserve">PPMAEE </t>
    </r>
    <r>
      <rPr>
        <vertAlign val="subscript"/>
        <sz val="9"/>
        <color rgb="FF000000"/>
        <rFont val="Calibri"/>
        <family val="2"/>
        <scheme val="minor"/>
      </rPr>
      <t>t</t>
    </r>
    <r>
      <rPr>
        <sz val="9"/>
        <color rgb="FF000000"/>
        <rFont val="Calibri"/>
        <family val="2"/>
        <scheme val="minor"/>
      </rPr>
      <t xml:space="preserve"> = Porcentaje de Planes de Manejo de Acuíferos (PMA) en ejecución, en el tiempo t.</t>
    </r>
  </si>
  <si>
    <r>
      <t xml:space="preserve">PPMMME </t>
    </r>
    <r>
      <rPr>
        <vertAlign val="subscript"/>
        <sz val="9"/>
        <color rgb="FF000000"/>
        <rFont val="Calibri"/>
        <family val="2"/>
        <scheme val="minor"/>
      </rPr>
      <t>t</t>
    </r>
    <r>
      <rPr>
        <sz val="9"/>
        <color rgb="FF000000"/>
        <rFont val="Calibri"/>
        <family val="2"/>
        <scheme val="minor"/>
      </rPr>
      <t xml:space="preserve"> = Porcentaje de Planes de Manejo de Microcuencas (PMM) en ejecución, en el tiempo t.</t>
    </r>
  </si>
  <si>
    <t>a = ponderador de PPOMCASEE</t>
  </si>
  <si>
    <t>b = ponderador de PPMAEE</t>
  </si>
  <si>
    <t>c = ponderador de PPMMME</t>
  </si>
  <si>
    <r>
      <t>Nota:</t>
    </r>
    <r>
      <rPr>
        <sz val="9"/>
        <color rgb="FF000000"/>
        <rFont val="Calibri"/>
        <family val="2"/>
        <scheme val="minor"/>
      </rPr>
      <t xml:space="preserve"> los ponderadores de las acciones serán definidos por las CAR teniendo en cuenta el presupuesto asignado para cada una de ellas. Por su parte, la ejecución de cada acción corresponde a la ejecución presupuestal de la acción (compromisos / presupuesto definitivo).</t>
    </r>
  </si>
  <si>
    <r>
      <t xml:space="preserve">Porcentaje de POMCAS en ejecución </t>
    </r>
    <r>
      <rPr>
        <sz val="9"/>
        <color rgb="FF000000"/>
        <rFont val="Calibri"/>
        <family val="2"/>
        <scheme val="minor"/>
      </rPr>
      <t>(PPOMCASEE)</t>
    </r>
  </si>
  <si>
    <r>
      <t xml:space="preserve">POMCASEE </t>
    </r>
    <r>
      <rPr>
        <vertAlign val="subscript"/>
        <sz val="9"/>
        <color rgb="FF000000"/>
        <rFont val="Calibri"/>
        <family val="2"/>
        <scheme val="minor"/>
      </rPr>
      <t>t</t>
    </r>
    <r>
      <rPr>
        <sz val="9"/>
        <color rgb="FF000000"/>
        <rFont val="Calibri"/>
        <family val="2"/>
        <scheme val="minor"/>
      </rPr>
      <t xml:space="preserve"> = Número de POMCAS en ejecución, en el tiempo t.</t>
    </r>
  </si>
  <si>
    <t>POMCASF = Número de POMCAS aprobados.</t>
  </si>
  <si>
    <r>
      <t>Porcentaje de PMA en ejecución (</t>
    </r>
    <r>
      <rPr>
        <sz val="9"/>
        <color rgb="FF000000"/>
        <rFont val="Calibri"/>
        <family val="2"/>
        <scheme val="minor"/>
      </rPr>
      <t>PPMAEE)</t>
    </r>
  </si>
  <si>
    <r>
      <t xml:space="preserve">PMAEE </t>
    </r>
    <r>
      <rPr>
        <vertAlign val="subscript"/>
        <sz val="9"/>
        <color rgb="FF000000"/>
        <rFont val="Calibri"/>
        <family val="2"/>
        <scheme val="minor"/>
      </rPr>
      <t>t</t>
    </r>
    <r>
      <rPr>
        <sz val="9"/>
        <color rgb="FF000000"/>
        <rFont val="Calibri"/>
        <family val="2"/>
        <scheme val="minor"/>
      </rPr>
      <t xml:space="preserve"> = Número de POMCAS en ejecución, en el tiempo t.</t>
    </r>
  </si>
  <si>
    <t>PMAF = Número de POMCAS aprobados.</t>
  </si>
  <si>
    <r>
      <t>Porcentaje de PMM en ejecución (</t>
    </r>
    <r>
      <rPr>
        <sz val="9"/>
        <color rgb="FF000000"/>
        <rFont val="Calibri"/>
        <family val="2"/>
        <scheme val="minor"/>
      </rPr>
      <t>PPMMEE)</t>
    </r>
  </si>
  <si>
    <r>
      <t xml:space="preserve">PPMMEE </t>
    </r>
    <r>
      <rPr>
        <vertAlign val="subscript"/>
        <sz val="9"/>
        <color rgb="FF000000"/>
        <rFont val="Calibri"/>
        <family val="2"/>
        <scheme val="minor"/>
      </rPr>
      <t>t</t>
    </r>
    <r>
      <rPr>
        <sz val="9"/>
        <color rgb="FF000000"/>
        <rFont val="Calibri"/>
        <family val="2"/>
        <scheme val="minor"/>
      </rPr>
      <t xml:space="preserve"> = Porcentaje de Planes de Manejo de Microcuencas (PMM) en ejecución, en el tiempo t.</t>
    </r>
  </si>
  <si>
    <r>
      <t xml:space="preserve">PMMEE </t>
    </r>
    <r>
      <rPr>
        <vertAlign val="subscript"/>
        <sz val="9"/>
        <color rgb="FF000000"/>
        <rFont val="Calibri"/>
        <family val="2"/>
        <scheme val="minor"/>
      </rPr>
      <t>t</t>
    </r>
    <r>
      <rPr>
        <sz val="9"/>
        <color rgb="FF000000"/>
        <rFont val="Calibri"/>
        <family val="2"/>
        <scheme val="minor"/>
      </rPr>
      <t xml:space="preserve"> = Número de PMM en ejecución, en el tiempo t.</t>
    </r>
  </si>
  <si>
    <t>PMMF = Número de PMM aprobados.</t>
  </si>
  <si>
    <t>.</t>
  </si>
  <si>
    <r>
      <t xml:space="preserve">EPPAM </t>
    </r>
    <r>
      <rPr>
        <vertAlign val="subscript"/>
        <sz val="9"/>
        <color rgb="FF000000"/>
        <rFont val="Calibri"/>
        <family val="2"/>
        <scheme val="minor"/>
      </rPr>
      <t>t</t>
    </r>
    <r>
      <rPr>
        <sz val="9"/>
        <color rgb="FF000000"/>
        <rFont val="Calibri"/>
        <family val="2"/>
        <scheme val="minor"/>
      </rPr>
      <t xml:space="preserve"> = Ejecución presupuestal de acciones relacionadas con la implementación de los POMCAS, PMA y PMM, en el año t.</t>
    </r>
  </si>
  <si>
    <r>
      <t xml:space="preserve">CPAM </t>
    </r>
    <r>
      <rPr>
        <vertAlign val="subscript"/>
        <sz val="9"/>
        <color rgb="FF000000"/>
        <rFont val="Calibri"/>
        <family val="2"/>
        <scheme val="minor"/>
      </rPr>
      <t>it</t>
    </r>
    <r>
      <rPr>
        <sz val="9"/>
        <color rgb="FF000000"/>
        <rFont val="Calibri"/>
        <family val="2"/>
        <scheme val="minor"/>
      </rPr>
      <t xml:space="preserve"> = Compromisos correspondientes a la acción i relacionada con la implementación de los POMCAS, PMA y PMM, en el año t.</t>
    </r>
  </si>
  <si>
    <r>
      <t xml:space="preserve">PDPAM </t>
    </r>
    <r>
      <rPr>
        <vertAlign val="subscript"/>
        <sz val="9"/>
        <color rgb="FF000000"/>
        <rFont val="Calibri"/>
        <family val="2"/>
        <scheme val="minor"/>
      </rPr>
      <t>it</t>
    </r>
    <r>
      <rPr>
        <sz val="9"/>
        <color rgb="FF000000"/>
        <rFont val="Calibri"/>
        <family val="2"/>
        <scheme val="minor"/>
      </rPr>
      <t xml:space="preserve"> = Presupuesto definitivo a la acción i relacionada con la implementación de los POMCAS, PMA y PMM, en el año t.</t>
    </r>
  </si>
  <si>
    <t>Meta de entes territoriales a ser asesorados en la incorporación, planificación y ejecución de cambio climático en los instrumentos de planificación territorial (METACC)</t>
  </si>
  <si>
    <t>Entes territoriales efectivamente asesorados en la incorporación, planificación y ejecución de cambio climático en los instrumentos de planificación territorial (ETACC)</t>
  </si>
  <si>
    <t>Porcentaje de entes territoriales asesorados en la incorporación, planificación y ejecución de cambio climático en los instrumentos de planificación territorial (PETACC)</t>
  </si>
  <si>
    <t>Detalle de acciones de asesoría realizadas en la vigencia (utilice tantas filas cuantas sean necesarias)</t>
  </si>
  <si>
    <t>Acciones</t>
  </si>
  <si>
    <t xml:space="preserve">Número de entes territoriales </t>
  </si>
  <si>
    <t>Nombres de entidades territoriales</t>
  </si>
  <si>
    <t>Cuanto más cercano a cien por ciento, mayor es el cumplimiento de las metas establecidas en relación con la asesoría a los entes territoriales en la incorporación de cambio climático en los instrumentos de planificación territorial.</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</si>
  <si>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entes territoriales asesorados en la incorporación de cambio climático en los instrumentos de planificación territorial (Versión 1.0).</t>
    </r>
    <r>
      <rPr>
        <sz val="9"/>
        <color rgb="FF000000"/>
        <rFont val="Calibri"/>
        <family val="2"/>
        <scheme val="minor"/>
      </rPr>
      <t xml:space="preserve"> Ministerio de Ambiente y Desarrollo Sostenible MADS, DGOAT-SINA y DCC.</t>
    </r>
  </si>
  <si>
    <t>Es la relación entre el número de entes territoriales asesorados en la incorporación, planificación y ejecución de acciones relacionadas con cambio climático en el marco de los instrumentos de planificación territorial, con respecto a la meta de entes territoriales a ser asesorados durante un periodo de gobierno en los departamentos y municipios.</t>
  </si>
  <si>
    <t>El indicador mide el cumplimiento de las metas establecidas, por parte de la Corporación Autónoma Regional, en relación con la asesoría a los entes territoriales en la incorporación, planificación y ejecución de acciones de cambio climático en sus instrumentos de planificación territorial.</t>
  </si>
  <si>
    <t>Cumplimiento y Seguimiento a las metas del Plan Nacional de Desarrollo 2014-2018 (Entidades territoriales que incorporan en los instrumentos de planificación acciones de cambio climático)</t>
  </si>
  <si>
    <t>Convención Marco de Cambio Climático CMCC</t>
  </si>
  <si>
    <t>Objetivos de Desarrollo Sostenible, Objetivo 13: adoptar medidas urgentes para combatir el cambio climático y sus efectos.</t>
  </si>
  <si>
    <t>Ley 99 de 1993, Artículo 31, numerales 4 y 5.</t>
  </si>
  <si>
    <t>Ley 1753 de 2015, Plan Nacional de Desarrollo (Crecimiento Verde), Artículo 170 y ss.</t>
  </si>
  <si>
    <t>Documentos de referencia:</t>
  </si>
  <si>
    <t>Plan Nacional de Desarrollo</t>
  </si>
  <si>
    <t>Acuerdo COP 21 y Guía para la incorporación de cambio climático en el ciclo del ordenamiento territorial.</t>
  </si>
  <si>
    <t>Mayor información: http://cambioclimatico.minambiente.gov.co/</t>
  </si>
  <si>
    <t>El Plan Nacional de Desarrollo 2014-2018 (crecimiento verde) establece que las entidades territoriales incorporen, en sus instrumentos formales de planificación del desarrollo y de ordenamiento territorial, acciones de adaptación y/o mitigación al cambio climático; mediante la reducción de vulnerabilidad, el incremento de la capacidad adaptativa y la reducción de la exposición y sensibilidad; así como la reducción de emisiones de Gases de Efecto Invernadero. Cabe indicar que los instrumentos formales de planificación del desarrollo y de ordenamiento territorial abarcan los Planes de Desarrollo departamentales y municipales y Planes de Ordenamiento Territorial.</t>
  </si>
  <si>
    <t>En éste mismo sentido la Ley 99 de 1993 en su Artículo 31, numerales 4 y 5, contempla que “asesorar a los Departamentos, Distritos y Municipios de su comprensión territorial en la definición de los planes de desarrollo ambiental y en sus programas y proyectos en materia de protección del medio ambiente” y “Participar con los demás organismos y entes competentes en el ámbito de su jurisdicción, en los procesos de planificación y ordenamiento territorial a fin de que el factor ambiental sea tenido en cuenta en las decisiones que se adopten”</t>
  </si>
  <si>
    <t>Las autoridades ambientales juegan un papel central como asesores técnicos de la incorporación del cambio climático en sus instrumentos de planificación de los entes territoriales, tanto a nivel departamental como municipal.</t>
  </si>
  <si>
    <t>Por asesoría se entienden las siguientes acciones:</t>
  </si>
  <si>
    <r>
      <t>·</t>
    </r>
    <r>
      <rPr>
        <sz val="7"/>
        <color rgb="FF000000"/>
        <rFont val="Times New Roman"/>
        <family val="1"/>
      </rPr>
      <t xml:space="preserve">        </t>
    </r>
    <r>
      <rPr>
        <sz val="9"/>
        <color rgb="FF000000"/>
        <rFont val="Calibri"/>
        <family val="2"/>
      </rPr>
      <t>Elaborar informes de análisis de la incorporación de cambio climático en el proceso de formulación de los Planes de Desarrollo departamentales y municipales y en los Planes de Ordenamiento Territorial.</t>
    </r>
  </si>
  <si>
    <r>
      <t>·</t>
    </r>
    <r>
      <rPr>
        <sz val="7"/>
        <color rgb="FF000000"/>
        <rFont val="Times New Roman"/>
        <family val="1"/>
      </rPr>
      <t xml:space="preserve">        </t>
    </r>
    <r>
      <rPr>
        <sz val="9"/>
        <color rgb="FF000000"/>
        <rFont val="Calibri"/>
        <family val="2"/>
      </rPr>
      <t>Entregar a los territorios documentos con recomendaciones y orientaciones específicas para la incorporación, planificación y ejecución de acciones de cambio climático en los instrumentos de planificación del desarrollo y de ordenamiento territorial</t>
    </r>
  </si>
  <si>
    <r>
      <t>·</t>
    </r>
    <r>
      <rPr>
        <sz val="7"/>
        <color rgb="FF000000"/>
        <rFont val="Times New Roman"/>
        <family val="1"/>
      </rPr>
      <t xml:space="preserve">        </t>
    </r>
    <r>
      <rPr>
        <sz val="9"/>
        <color rgb="FF000000"/>
        <rFont val="Calibri"/>
        <family val="2"/>
      </rPr>
      <t>Elaborar estudios para medir el riesgo climático en la jurisdicción y realizar la socialización con los entes territoriales.</t>
    </r>
  </si>
  <si>
    <r>
      <t>·</t>
    </r>
    <r>
      <rPr>
        <sz val="7"/>
        <color rgb="FF000000"/>
        <rFont val="Times New Roman"/>
        <family val="1"/>
      </rPr>
      <t xml:space="preserve">        </t>
    </r>
    <r>
      <rPr>
        <sz val="9"/>
        <color rgb="FF000000"/>
        <rFont val="Calibri"/>
        <family val="2"/>
      </rPr>
      <t>Elaboración y difusión de estudios sobre las oportunidades del cambio climático a nivel regional.</t>
    </r>
  </si>
  <si>
    <r>
      <t>·</t>
    </r>
    <r>
      <rPr>
        <sz val="7"/>
        <color rgb="FF000000"/>
        <rFont val="Times New Roman"/>
        <family val="1"/>
      </rPr>
      <t xml:space="preserve">        </t>
    </r>
    <r>
      <rPr>
        <sz val="9"/>
        <color rgb="FF000000"/>
        <rFont val="Calibri"/>
        <family val="2"/>
      </rPr>
      <t>Fortalecer los sistemas de información que permitan generar conocimiento del cambio climático y sus efectos a nivel regional y local.</t>
    </r>
  </si>
  <si>
    <r>
      <t>·</t>
    </r>
    <r>
      <rPr>
        <sz val="7"/>
        <color rgb="FF000000"/>
        <rFont val="Times New Roman"/>
        <family val="1"/>
      </rPr>
      <t xml:space="preserve">        </t>
    </r>
    <r>
      <rPr>
        <sz val="9"/>
        <color rgb="FF000000"/>
        <rFont val="Calibri"/>
        <family val="2"/>
      </rPr>
      <t>Realizar eventos de capacitación para la incorporación de cambio climático en los Planes de Desarrollo departamentales y municipales y en los Planes de Ordenamiento Territorial.</t>
    </r>
  </si>
  <si>
    <r>
      <t xml:space="preserve">PETACC </t>
    </r>
    <r>
      <rPr>
        <vertAlign val="subscript"/>
        <sz val="9"/>
        <color rgb="FF000000"/>
        <rFont val="Calibri"/>
        <family val="2"/>
        <scheme val="minor"/>
      </rPr>
      <t>t</t>
    </r>
    <r>
      <rPr>
        <sz val="9"/>
        <color rgb="FF000000"/>
        <rFont val="Calibri"/>
        <family val="2"/>
        <scheme val="minor"/>
      </rPr>
      <t xml:space="preserve"> = Porcentaje de entes territoriales asesorados en la incorporación, planificación y ejecución de cambio climático en los instrumentos de planificación territorial, en el tiempo t.</t>
    </r>
  </si>
  <si>
    <r>
      <t xml:space="preserve">ETACC </t>
    </r>
    <r>
      <rPr>
        <vertAlign val="subscript"/>
        <sz val="9"/>
        <color rgb="FF000000"/>
        <rFont val="Calibri"/>
        <family val="2"/>
        <scheme val="minor"/>
      </rPr>
      <t>t</t>
    </r>
    <r>
      <rPr>
        <sz val="9"/>
        <color rgb="FF000000"/>
        <rFont val="Calibri"/>
        <family val="2"/>
        <scheme val="minor"/>
      </rPr>
      <t xml:space="preserve"> = Número de entes territoriales efectivamente asesorados en la incorporación, planificación y ejecución de cambio climático en los instrumentos de planificación territorial, en el tiempo t.</t>
    </r>
  </si>
  <si>
    <r>
      <t xml:space="preserve">METACC </t>
    </r>
    <r>
      <rPr>
        <vertAlign val="subscript"/>
        <sz val="9"/>
        <color rgb="FF000000"/>
        <rFont val="Calibri"/>
        <family val="2"/>
        <scheme val="minor"/>
      </rPr>
      <t>t</t>
    </r>
    <r>
      <rPr>
        <sz val="9"/>
        <color rgb="FF000000"/>
        <rFont val="Calibri"/>
        <family val="2"/>
        <scheme val="minor"/>
      </rPr>
      <t xml:space="preserve"> = Meta de entes territoriales a ser asesorados en la incorporación, planificación y ejecución de cambio climático en los instrumentos de planificación territorial, en el tiempo t.</t>
    </r>
  </si>
  <si>
    <t>Para su cálculo, se reporta la siguiente información:</t>
  </si>
  <si>
    <t>Variable  (*)</t>
  </si>
  <si>
    <t>Meta de suelos degradados en recuperación o rehabilitación (ha)</t>
  </si>
  <si>
    <t>Áreas de suelos degradados en recuperación o rehabilitación (ha)</t>
  </si>
  <si>
    <t>Porcentaje de suelos degradados en recuperación o rehabilitación (C = B / A)</t>
  </si>
  <si>
    <t>* Valor Acumulado</t>
  </si>
  <si>
    <t>Inversión asociada a recuperación o rehabilitación de suelos degradados (Millones de $)</t>
  </si>
  <si>
    <t>(*) Adicione tantas filas cuantas sean necesarias.</t>
  </si>
  <si>
    <t xml:space="preserve">Tipo de acción </t>
  </si>
  <si>
    <t>Área de intervención (ha)</t>
  </si>
  <si>
    <t>Ppto. inicial</t>
  </si>
  <si>
    <t>Presupuesto Definitivo</t>
  </si>
  <si>
    <r>
      <t>Cuanto más cercano a cien por ciento, mayor es el cumplimiento de las metas establecidas por la Corporación en materia de recuperación o rehabilitación</t>
    </r>
    <r>
      <rPr>
        <b/>
        <sz val="9"/>
        <color rgb="FF000000"/>
        <rFont val="Calibri"/>
        <family val="2"/>
        <scheme val="minor"/>
      </rPr>
      <t xml:space="preserve"> </t>
    </r>
    <r>
      <rPr>
        <sz val="9"/>
        <color rgb="FF000000"/>
        <rFont val="Calibri"/>
        <family val="2"/>
        <scheme val="minor"/>
      </rPr>
      <t>de suelos degradados.</t>
    </r>
  </si>
  <si>
    <t>Se pueden presentar situaciones de orden operativo, financiero, político y social que pueden afectar los presupuestos y los cronogramas definidos en el Plan de Acción de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</si>
  <si>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suelos degradados en recuperación o rehabilitación. (Versión 1.0).</t>
    </r>
    <r>
      <rPr>
        <sz val="9"/>
        <color rgb="FF000000"/>
        <rFont val="Calibri"/>
        <family val="2"/>
        <scheme val="minor"/>
      </rPr>
      <t xml:space="preserve"> Ministerio de Ambiente y Desarrollo Sostenible MADS, DGOAT-SINA y DAASU.</t>
    </r>
  </si>
  <si>
    <t>Es la relación entre la superficie de suelos en restauración y en rehabilitación, con respecto a la meta de suelos en restauración y rehabilitación priorizadas por la Corporación.</t>
  </si>
  <si>
    <t>El indicador mide el cumplimiento de las metas de la Corporación en materia de restauración y rehabilitación de suelos, como contribución a la implementación regional de la Política de Gestión Sostenible del Suelo.</t>
  </si>
  <si>
    <t>Normas soporte:</t>
  </si>
  <si>
    <t>Ley 99 de 1993</t>
  </si>
  <si>
    <t>Decreto 1076 de 2015. Artículo 2.2.1.1.18.7. “En todo caso los propietarios están obligados a…… cooperar en las labores de prevención o corrección que adelante la autoridad ambiental competente”</t>
  </si>
  <si>
    <t>La estrategia transversal “Crecimiento Verde” del Plan Nacional de Desarrollo 2014-2018, “Todos por un nuevo país: Paz, Equidad y Educación”, tiene entre sus objetivos: “Proteger y asegurar el uso sostenible del capital natural y mejorar la calidad y la gobernanza ambiental”, y plantea como una de sus acciones prioritarias, aprobar e implementar la política para la gestión sostenible del suelo, “(…) a través de la cual se definirán los lineamientos para su uso sostenible relacionados con 1) promover la investigación, innovación y transferencia de tecnología para el conocimiento de los suelos, su conservación, recuperación, uso y manejo sostenible; 2) articular instrumentos normativos relacionados con la gestión del suelo y; 3) adelantar procesos de monitoreo y seguimiento a la calidad de los suelos”.</t>
  </si>
  <si>
    <t>Política de Gestión Sostenible del Suelo</t>
  </si>
  <si>
    <t>La Política de Gestión Sostenible del Suelo concibe los suelos como sistemas complejos y dinámicos, que se constituyen en componente fundamental del ambiente, y cumplen múltiples funciones vitales para la supervivencia humana y las relaciones sociales. Entre los servicios ecosistémicos asociados al suelo se destacan: producción de alimentos; filtrado e intercambio de gases; depuración de la contaminación; regulación climática e hídrica; ciclado de nutrientes; filtrado de agua; soporte para industria, infraestructura y turismo; entre otros.</t>
  </si>
  <si>
    <t>Los suelos hacen parte de la diversidad natural y biológica y están compuestos por minerales, agua, aire y organismos vivos; sus usos son esencialmente culturales, según las prácticas y las costumbres de los individuos y las comunidades, las cuales están predeterminadas por normas, reglas u orientaciones sociales, comunitarias o estatales.</t>
  </si>
  <si>
    <t>Así mismo, son indispensables y determinantes para la estructura y el funcionamiento de los ciclos del agua, del aire y de los nutrientes, así como para la biodiversidad. Esto en razón a que el suelo es parte esencial de los ciclos biogeoquímicos, en los cuales hay distribución, transporte, almacenamiento y transformación de materiales y energía necesarios para la vida en el planeta.</t>
  </si>
  <si>
    <t>A pesar de su importancia, el uso insostenible del suelo, entre otras actividades antrópicas, ocasiona su degradación, la cual resulta particularmente preocupante, por el efecto negativo en los ecosistemas, los organismos y las comunidades.</t>
  </si>
  <si>
    <t>Los procesos de degradación más relevantes en Colombia son la erosión, el sellamiento de suelos, la contaminación, la pérdida de la materia orgánica, la salinización, la compactación y la desertificación.</t>
  </si>
  <si>
    <t>Los procesos de recuperación o rehabilitación de suelos degradados deben dar cuenta de las acciones adelantadas para el mejoramiento de las condiciones del suelo (propiedades físicas, químicas y bilógicas) y las acciones para el monitoreo y seguimiento al mejoramiento de su calidad de acuerdo con las orientaciones establecidas en la Política para la Gestión Sostenible del Suelo. La Corporación partiendo de la información línea base disponible deberá identificar y priorizar las áreas con suelos degradados a intervenir, las cuales serán objeto de seguimiento al presente indicador.</t>
  </si>
  <si>
    <t>Entre la información línea base, se encuentra el mapa de degradación de suelos por erosión a escala 1:100.000 elaborado por el IDEAM y el MADS, los estudios de suelos e información del IGAC, las investigaciones desarrolladas por los Institutos de Investigación y las Universidades y la generada por las Corporaciones.</t>
  </si>
  <si>
    <t>Porcentaje de suelos degradados en recuperación o rehabilitación.</t>
  </si>
  <si>
    <r>
      <t xml:space="preserve">PSER </t>
    </r>
    <r>
      <rPr>
        <vertAlign val="subscript"/>
        <sz val="9"/>
        <color rgb="FF000000"/>
        <rFont val="Calibri"/>
        <family val="2"/>
        <scheme val="minor"/>
      </rPr>
      <t>t</t>
    </r>
    <r>
      <rPr>
        <sz val="9"/>
        <color rgb="FF000000"/>
        <rFont val="Calibri"/>
        <family val="2"/>
        <scheme val="minor"/>
      </rPr>
      <t xml:space="preserve"> = Porcentaje de suelos degradados en recuperación o rehabilitación, en el tiempo t.</t>
    </r>
  </si>
  <si>
    <r>
      <t xml:space="preserve">SER </t>
    </r>
    <r>
      <rPr>
        <vertAlign val="subscript"/>
        <sz val="9"/>
        <color rgb="FF000000"/>
        <rFont val="Calibri"/>
        <family val="2"/>
        <scheme val="minor"/>
      </rPr>
      <t>it</t>
    </r>
    <r>
      <rPr>
        <sz val="9"/>
        <color rgb="FF000000"/>
        <rFont val="Calibri"/>
        <family val="2"/>
        <scheme val="minor"/>
      </rPr>
      <t xml:space="preserve"> = Superficie de suelos degradados en recuperación o rehabilitación (ha), en el tiempo t.</t>
    </r>
  </si>
  <si>
    <r>
      <t xml:space="preserve">MSER </t>
    </r>
    <r>
      <rPr>
        <vertAlign val="subscript"/>
        <sz val="9"/>
        <color rgb="FF000000"/>
        <rFont val="Calibri"/>
        <family val="2"/>
        <scheme val="minor"/>
      </rPr>
      <t>it</t>
    </r>
    <r>
      <rPr>
        <sz val="9"/>
        <color rgb="FF000000"/>
        <rFont val="Calibri"/>
        <family val="2"/>
        <scheme val="minor"/>
      </rPr>
      <t xml:space="preserve"> = Meta de suelos degradados en recuperación o rehabilitación (ha), en el tiempo t.</t>
    </r>
  </si>
  <si>
    <r>
      <t xml:space="preserve">IRSD </t>
    </r>
    <r>
      <rPr>
        <vertAlign val="subscript"/>
        <sz val="9"/>
        <color rgb="FF000000"/>
        <rFont val="Calibri"/>
        <family val="2"/>
        <scheme val="minor"/>
      </rPr>
      <t>t</t>
    </r>
    <r>
      <rPr>
        <sz val="9"/>
        <color rgb="FF000000"/>
        <rFont val="Calibri"/>
        <family val="2"/>
        <scheme val="minor"/>
      </rPr>
      <t xml:space="preserve"> = Inversión asociada a recuperación o rehabilitación de suelos degradados, en el año t.</t>
    </r>
  </si>
  <si>
    <r>
      <t xml:space="preserve">PDARSD </t>
    </r>
    <r>
      <rPr>
        <vertAlign val="subscript"/>
        <sz val="9"/>
        <color rgb="FF000000"/>
        <rFont val="Calibri"/>
        <family val="2"/>
        <scheme val="minor"/>
      </rPr>
      <t>i</t>
    </r>
    <r>
      <rPr>
        <sz val="9"/>
        <color rgb="FF000000"/>
        <rFont val="Calibri"/>
        <family val="2"/>
        <scheme val="minor"/>
      </rPr>
      <t xml:space="preserve"> = Presupuesto definitivo asociado a la ejecución de la acción o proyecto i relacionado con la recuperación o rehabilitación de suelos degradados, en el año t.</t>
    </r>
  </si>
  <si>
    <t>Continentales</t>
  </si>
  <si>
    <t>Marinas, costeras  e Insulares (*)</t>
  </si>
  <si>
    <t>Número de áreas protegidas inscritas en el RUNAP a 31/12/2023 (número)</t>
  </si>
  <si>
    <t>Superficie de áreas protegidas inscritas en el RUNAP a 31/12/2023 (ha)</t>
  </si>
  <si>
    <t>Meta de áreas protegidas regionales a ser homologadas o recategorizadas, e inscritas en el RUNAP en el cuatrienio (ha)</t>
  </si>
  <si>
    <t xml:space="preserve">Meta total de nuevas áreas protegidas a ser inscritas en el RUNAP en el cuatrienio (ha) </t>
  </si>
  <si>
    <t>Número total de áreas protegidas regionales declaradas, homologadas o recategorizadas, e inscritas en el RUNAP a 31/12/2027 (número)</t>
  </si>
  <si>
    <t>Superficie total de áreas protegidas regionales declaradas, homologadas o recategorizadas, inscritas en el RUNAP a 31/12/2027 (ha) (C+D)</t>
  </si>
  <si>
    <t>(*) si aplica. Para evitar doble contabilidad, se clasifican en el grupo de áreas marinas, costeras e insulares, aquellas áreas protegidas con superficie tanto en áreas marinas y continentales.</t>
  </si>
  <si>
    <t>AREAS PROTEGIDAS CONTINENTALES</t>
  </si>
  <si>
    <t>Número de áreas protegidas en proceso de declaratoria (*)</t>
  </si>
  <si>
    <t>Meta de áreas inscritas en el RUNAP</t>
  </si>
  <si>
    <t>Sin iniciar</t>
  </si>
  <si>
    <t>FASE I: Preparación</t>
  </si>
  <si>
    <t>FASE II: Aprestamiento</t>
  </si>
  <si>
    <t>FASE III: Declaratoria o Ampliación</t>
  </si>
  <si>
    <t>Inscritas en el RUNAP</t>
  </si>
  <si>
    <t>(*) Ubique cada área protegida sólo en la última etapa que se encuentre</t>
  </si>
  <si>
    <t>La suma de las áreas protegidas debe ser igual a la meta de número de áreas protegidas en el cuatrienio</t>
  </si>
  <si>
    <t>Superficie de áreas protegidas en proceso de declaratoria (*)</t>
  </si>
  <si>
    <t>(*) Ubique la superficie de cada área protegida sólo en la última etapa que se encuentre</t>
  </si>
  <si>
    <t>La suma de las áreas protegidas debe ser igual a la meta de superficie de áreas protegidas en el cuatrienio.</t>
  </si>
  <si>
    <t>AREAS PROTEGIDAS MARINAS, COSTERAS E INSULARES</t>
  </si>
  <si>
    <t>Inscrita en el RUNAP</t>
  </si>
  <si>
    <t>Relación de áreas protegidas en proceso de declaración</t>
  </si>
  <si>
    <t>Nombre de área protegida</t>
  </si>
  <si>
    <t>Tipo (continental, marina, costera, insular)</t>
  </si>
  <si>
    <t>Categoría</t>
  </si>
  <si>
    <t>Superficie en acto administrativo (ha) (*)</t>
  </si>
  <si>
    <t>Superficie en shape (ha)(a)</t>
  </si>
  <si>
    <t>Estado de avance (b)</t>
  </si>
  <si>
    <t>Acto administrativo</t>
  </si>
  <si>
    <t>de declaratoria</t>
  </si>
  <si>
    <t>(a) superficie estimada</t>
  </si>
  <si>
    <t>(b) en preparación, en aprestamiento, en declaración y declarado. Si está declarado, escriba el número del acto administrativo correspondiente.</t>
  </si>
  <si>
    <t>Resumen del Indicador</t>
  </si>
  <si>
    <t>Meta de áreas inscritas en el RUNAP (ha)</t>
  </si>
  <si>
    <t>Superficie total de áreas protegidas regionales declaradas, homologadas o recategorizadas, inscritas en el RUNAP</t>
  </si>
  <si>
    <t>Cuanto más cercano a cien por ciento, mayor es el cumplimiento de las metas establecidas por la Corporación en materia de declaración de nuevas áreas protegidas.</t>
  </si>
  <si>
    <t>Se pueden llegar a presentar superposiciones en áreas protegidas declaradas u homologadas, es decir, que sobre una misma área se hayan declarado una figura regional o una nacional, con distintas definiciones y regímenes de manejo. Para efectos del presente indicador sólo se cuantificará una vez el área, eliminando en el reporte de área las superposiciones, es decir, que se deberá contar solo una vez las áreas traslapadas.</t>
  </si>
  <si>
    <r>
      <t>Lo anterior teniendo en cuenta que el artículo 2.2.2.1.3.5 del Decreto 1076 de 2015 (artículo 26 del Decreto 2372 de 2010) contempla que “</t>
    </r>
    <r>
      <rPr>
        <i/>
        <sz val="9"/>
        <color rgb="FF000000"/>
        <rFont val="Calibri"/>
        <family val="2"/>
        <scheme val="minor"/>
      </rPr>
      <t>No podrán superponerse categorías de manejo de áreas públicas</t>
    </r>
    <r>
      <rPr>
        <sz val="9"/>
        <color rgb="FF000000"/>
        <rFont val="Calibri"/>
        <family val="2"/>
        <scheme val="minor"/>
      </rPr>
      <t xml:space="preserve">”. Por tal razón, recomendamos a las Autoridades Ambientales revisar la información oficial que se encuentra en el RUNAP y cotejarla con sus procesos de declaratoria para evitar traslapes que pueden llegar a limitar el registro de las áreas protegidas en el RUNAP. </t>
    </r>
  </si>
  <si>
    <r>
      <t>Hoja Metodológica de referencia:</t>
    </r>
    <r>
      <rPr>
        <sz val="9"/>
        <color rgb="FF000000"/>
        <rFont val="Calibri"/>
        <family val="2"/>
        <scheme val="minor"/>
      </rPr>
      <t xml:space="preserve"> MADS (2016). </t>
    </r>
    <r>
      <rPr>
        <i/>
        <sz val="9"/>
        <color rgb="FF000000"/>
        <rFont val="Calibri"/>
        <family val="2"/>
        <scheme val="minor"/>
      </rPr>
      <t>Hoja metodológica Porcentaje de la Superficie de áreas protegidas regionales declaradas, homologadas o recategorizadas, inscritas en el RUNAP (Versión 1.0).</t>
    </r>
    <r>
      <rPr>
        <sz val="9"/>
        <color rgb="FF000000"/>
        <rFont val="Calibri"/>
        <family val="2"/>
        <scheme val="minor"/>
      </rPr>
      <t xml:space="preserve"> Ministerio de Ambiente y Desarrollo Sostenible MADS y Parques Nacionales de Colombia.</t>
    </r>
  </si>
  <si>
    <t>Se recomienda a las Autoridades Ambientales enviar adicionalmente reportes cualitativos del avance de los procesos de declaratoria regionales de manera periódica (mensualmente) a Parques Nacionales Naturales de Colombia, dado que en el marco de la Coordinación del SINAP y Administración del RUNAP debe entregar el respectivo reporte oficial al DNP y diferentes entidades.</t>
  </si>
  <si>
    <t>Mide la superficie en hectáreas de las áreas protegidas regionales, declaradas homologadas o recategorizadas inscritas en el RUNAP, con respecto a la meta de áreas protegidas regionales definida en el Plan de Acción de la Corporación. Comprende las áreas protegidas tanto continentales como marinas, costeras e insulares.</t>
  </si>
  <si>
    <t>El indicador busca hacer seguimiento a la contribución de las CAR a la Política Nacional de Gestión Integral de la Biodiversidad y sus Servicios Ecosistémicos y específicamente a la estrategia de declaración de áreas protegidas.</t>
  </si>
  <si>
    <t>Contribución a la Meta del plan de desarrollo (Hectáreas de Áreas Protegidas declaradas en el SINAP)</t>
  </si>
  <si>
    <t>Resolución 1125 de 2015.</t>
  </si>
  <si>
    <t>Política Nacional de Gestión Integral de la Biodiversidad y sus Servicios Ecosistémicos.</t>
  </si>
  <si>
    <t>Ruta declaratoria de áreas protegidas del Sistema Nacional de Áreas Protegidas (SINAP).</t>
  </si>
  <si>
    <t>Plan Nacional de Desarrollo 2014-2018.</t>
  </si>
  <si>
    <t>El Convenio sobre Diversidad Biológica, aprobado por la Ley 165 de 1994, señala que los objetivos de conservación de la biodiversidad que se persiguen son: la conservación de la diversidad, la utilización sostenible de sus componentes y la participación justa y equitativa en los beneficios que se deriven del uso de recursos genéticos.</t>
  </si>
  <si>
    <t>La Decisión VII.28 de la Séptima Conferencia de las Partes -COP 7- del Convenio sobre Diversidad Biológica, aprobó el Programa Temático de Áreas Protegidas que confirma que es indispensable hacer esfuerzos para establecer y mantener sistemas de áreas protegidas, aplicando el enfoque ecosistémico con el objetivo de establecer y mantener sistemas completos, eficazmente manejados y ecológicamente representativos de áreas protegidas.</t>
  </si>
  <si>
    <r>
      <t xml:space="preserve">La Meta 11 de Aichi planteada en el marco del plan estratégico de biodiversidad definido en Nagoya establece que para </t>
    </r>
    <r>
      <rPr>
        <b/>
        <sz val="9"/>
        <color rgb="FF000000"/>
        <rFont val="Calibri"/>
        <family val="2"/>
        <scheme val="minor"/>
      </rPr>
      <t xml:space="preserve">2020, </t>
    </r>
    <r>
      <rPr>
        <sz val="9"/>
        <color rgb="FF000000"/>
        <rFont val="Calibri"/>
        <family val="2"/>
        <scheme val="minor"/>
      </rPr>
      <t xml:space="preserve">al menos el </t>
    </r>
    <r>
      <rPr>
        <b/>
        <sz val="9"/>
        <color rgb="FF000000"/>
        <rFont val="Calibri"/>
        <family val="2"/>
        <scheme val="minor"/>
      </rPr>
      <t xml:space="preserve">17 por ciento de las zonas terrestres </t>
    </r>
    <r>
      <rPr>
        <sz val="9"/>
        <color rgb="FF000000"/>
        <rFont val="Calibri"/>
        <family val="2"/>
        <scheme val="minor"/>
      </rPr>
      <t xml:space="preserve">y de aguas continentales y el </t>
    </r>
    <r>
      <rPr>
        <b/>
        <sz val="9"/>
        <color rgb="FF000000"/>
        <rFont val="Calibri"/>
        <family val="2"/>
        <scheme val="minor"/>
      </rPr>
      <t xml:space="preserve">10 por ciento de las zonas marinas y costeras, </t>
    </r>
    <r>
      <rPr>
        <sz val="9"/>
        <color rgb="FF000000"/>
        <rFont val="Calibri"/>
        <family val="2"/>
        <scheme val="minor"/>
      </rPr>
      <t xml:space="preserve">especialmente aquellas de particular importancia para la diversidad biológica y los servicios de los ecosistemas, </t>
    </r>
    <r>
      <rPr>
        <b/>
        <sz val="9"/>
        <color rgb="FF000000"/>
        <rFont val="Calibri"/>
        <family val="2"/>
        <scheme val="minor"/>
      </rPr>
      <t xml:space="preserve">se conservan por medio de sistemas de áreas protegidas administrados de manera eficaz y equitativa, ecológicamente representativos y bien conectados </t>
    </r>
    <r>
      <rPr>
        <sz val="9"/>
        <color rgb="FF000000"/>
        <rFont val="Calibri"/>
        <family val="2"/>
        <scheme val="minor"/>
      </rPr>
      <t>y otras medidas de conservación eficaces basadas en áreas, y están integradas en los paisajes terrestres y marinos más amplios.</t>
    </r>
  </si>
  <si>
    <t>En tal sentido, el Decreto 1076 de 2015 define un área protegida como una superficie definida geográficamente que haya sido designada, regulada y administrada a fin de alcanzar objetivos específicos de conservación.</t>
  </si>
  <si>
    <t>De acuerdo con el Decreto 1076 de 2015, las categorías de áreas protegidas son: Sistema de Parques Nacionales Naturales, Reserva Forestal Protectora Nacional, Distrito de Manejo Integrado Nacional, Reserva Forestal Protectora Regional, Distrito de Manejo Integrado Regional, Distrito de Conservación de Suelos, Área de Recreación y Reserva Natural de la Sociedad Civil.</t>
  </si>
  <si>
    <r>
      <t xml:space="preserve">PAPR </t>
    </r>
    <r>
      <rPr>
        <vertAlign val="subscript"/>
        <sz val="9"/>
        <color rgb="FF000000"/>
        <rFont val="Calibri"/>
        <family val="2"/>
        <scheme val="minor"/>
      </rPr>
      <t>t</t>
    </r>
    <r>
      <rPr>
        <sz val="9"/>
        <color rgb="FF000000"/>
        <rFont val="Calibri"/>
        <family val="2"/>
        <scheme val="minor"/>
      </rPr>
      <t xml:space="preserve"> = Porcentaje de áreas protegidas regionales declaradas, homologadas o recategorizadas, inscritas en el RUNAP, en el tiempo t.</t>
    </r>
  </si>
  <si>
    <r>
      <t xml:space="preserve">SAPR </t>
    </r>
    <r>
      <rPr>
        <vertAlign val="subscript"/>
        <sz val="9"/>
        <color rgb="FF000000"/>
        <rFont val="Calibri"/>
        <family val="2"/>
        <scheme val="minor"/>
      </rPr>
      <t>it</t>
    </r>
    <r>
      <rPr>
        <sz val="9"/>
        <color rgb="FF000000"/>
        <rFont val="Calibri"/>
        <family val="2"/>
        <scheme val="minor"/>
      </rPr>
      <t xml:space="preserve"> = Superficie de áreas protegidas regionales declaradas, homologadas o recategorizadas, inscritas en el RUNAP (ha), en el tiempo t.</t>
    </r>
  </si>
  <si>
    <r>
      <t xml:space="preserve">MAPR </t>
    </r>
    <r>
      <rPr>
        <vertAlign val="subscript"/>
        <sz val="9"/>
        <color rgb="FF000000"/>
        <rFont val="Calibri"/>
        <family val="2"/>
        <scheme val="minor"/>
      </rPr>
      <t>it</t>
    </r>
    <r>
      <rPr>
        <sz val="9"/>
        <color rgb="FF000000"/>
        <rFont val="Calibri"/>
        <family val="2"/>
        <scheme val="minor"/>
      </rPr>
      <t xml:space="preserve"> = Meta de áreas protegidas regionales declaradas, homologadas o recategorizadas, inscritas en el RUNAP (ha), en el tiempo t.</t>
    </r>
  </si>
  <si>
    <t>NO APLICA</t>
  </si>
  <si>
    <t>Reporte de avance</t>
  </si>
  <si>
    <t>Etapa</t>
  </si>
  <si>
    <t>Año 0 (2019) (*)</t>
  </si>
  <si>
    <t>Páramos delimitados por el MADS (número) ubicados en la jurisdicción de la Corporación</t>
  </si>
  <si>
    <t>Actos Administrativos de la CAR que adoptan la Zonificación y régimen de usos de páramos (número)</t>
  </si>
  <si>
    <t>Relación de páramos delimitados por el MADS, con zonificación y régimen de usos adoptados por la CAR</t>
  </si>
  <si>
    <t>Nombre del páramo</t>
  </si>
  <si>
    <t>Estado de avance</t>
  </si>
  <si>
    <t>Cuanto más cercano a cien por ciento, mayor es el cumplimiento de las metas de la autoridad ambiental en la gestión de paramos ubicados en la jurisdicción de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</si>
  <si>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páramos delimitados, con zonificación y régimen de usos (Versión 1.0).</t>
    </r>
    <r>
      <rPr>
        <sz val="9"/>
        <color rgb="FF000000"/>
        <rFont val="Calibri"/>
        <family val="2"/>
        <scheme val="minor"/>
      </rPr>
      <t xml:space="preserve"> Ministerio de Ambiente y Desarrollo Sostenible MADS, DGOAT-SINA y DBBSE.</t>
    </r>
  </si>
  <si>
    <t>Observaciones.</t>
  </si>
  <si>
    <t>Es el porcentaje de páramos con zonificación y régimen de usos adoptados por la CAR, en relación con los páramos delimitados por el MADS en la jurisdicción de la Corporación.</t>
  </si>
  <si>
    <t>Mide el avance en la zonificación y en la determinación del régimen de usos, de las áreas de páramo delimitadas por el MADS, que están ubicados en la jurisdicción de la Corporación. De esta manera, el indicador busca hacer seguimiento a la contribución de las CAR a la ejecución de la Política Nacional de Gestión Integral de la Biodiversidad y sus Servicios Ecosistémicos.</t>
  </si>
  <si>
    <t>Ley 1753 de 2015</t>
  </si>
  <si>
    <t>Resolución 769 de 2002</t>
  </si>
  <si>
    <t>Resolución 839 de 2003</t>
  </si>
  <si>
    <t>Resolución 1128 de 2006</t>
  </si>
  <si>
    <t>Resolución 937 de 2011</t>
  </si>
  <si>
    <t>Los ecosistemas de páramos han sido reconocidos como áreas de especial importancia ecológica que cuentan con una protección especial por parte del Estado, toda vez que resultan de vital importancia por los servicios ecosistémicos que prestan a la población colombiana, especialmente los relacionados con la estabilidad de los ciclos climáticos e hidrológicos y con la regulación de los flujos de agua en cantidad y calidad.</t>
  </si>
  <si>
    <t>Por ello, el artículo 1° de la Ley 99 de 1993, establece entre los Principios Generales Ambientales que las zonas de páramos, subpáramos, los nacimientos de agua y las zonas de recarga de acuíferos serán objeto de protección especial.</t>
  </si>
  <si>
    <t>El artículo 173 de la Ley 1753 de 2015 determina que en las áreas delimitadas como páramos no se podrán adelantar actividades agropecuarias ni de exploración o explotación de recursos naturales no renovables, ni construcción de refinerías de hidrocarburos.</t>
  </si>
  <si>
    <t>El Parágrafo 3 del mencionado artículo establece que “dentro de los tres (3) años siguientes a la delimitación, las autoridades ambientales deberán zonificar y determinar el régimen de usos del área de páramo delimitada, de acuerdo con los lineamientos que para el efecto defina el Ministerio de Ambiente y Desarrollo Sostenible”.</t>
  </si>
  <si>
    <r>
      <t xml:space="preserve">PPDZRU </t>
    </r>
    <r>
      <rPr>
        <vertAlign val="subscript"/>
        <sz val="9"/>
        <color rgb="FF000000"/>
        <rFont val="Calibri"/>
        <family val="2"/>
        <scheme val="minor"/>
      </rPr>
      <t>t</t>
    </r>
    <r>
      <rPr>
        <sz val="9"/>
        <color rgb="FF000000"/>
        <rFont val="Calibri"/>
        <family val="2"/>
        <scheme val="minor"/>
      </rPr>
      <t xml:space="preserve"> = Porcentaje de los páramos delimitados por el MADS, a los cuales la CAR les expide el Acto Administrativo de zonificación y régimen de usos, en el tiempo t.</t>
    </r>
  </si>
  <si>
    <r>
      <t xml:space="preserve">PZRU </t>
    </r>
    <r>
      <rPr>
        <vertAlign val="subscript"/>
        <sz val="9"/>
        <color rgb="FF000000"/>
        <rFont val="Calibri"/>
        <family val="2"/>
        <scheme val="minor"/>
      </rPr>
      <t>it</t>
    </r>
    <r>
      <rPr>
        <sz val="9"/>
        <color rgb="FF000000"/>
        <rFont val="Calibri"/>
        <family val="2"/>
        <scheme val="minor"/>
      </rPr>
      <t xml:space="preserve"> = Número de páramos previamente delimitados por el MADS en la jurisdicción de la CAR, a los cuales la CAR les expide el Acto Administrativo de zonificación y régimen de usos, en el tiempo t.</t>
    </r>
  </si>
  <si>
    <r>
      <t xml:space="preserve">PD </t>
    </r>
    <r>
      <rPr>
        <vertAlign val="subscript"/>
        <sz val="9"/>
        <color rgb="FF000000"/>
        <rFont val="Calibri"/>
        <family val="2"/>
        <scheme val="minor"/>
      </rPr>
      <t>it</t>
    </r>
    <r>
      <rPr>
        <sz val="9"/>
        <color rgb="FF000000"/>
        <rFont val="Calibri"/>
        <family val="2"/>
        <scheme val="minor"/>
      </rPr>
      <t xml:space="preserve"> = Número de páramos delimitados por el MADS en la jurisdicción de la CAR, en el tiempo t.</t>
    </r>
  </si>
  <si>
    <t>Ponderaciones de referencia</t>
  </si>
  <si>
    <t>NO SE REPORTA</t>
  </si>
  <si>
    <t>Descripción</t>
  </si>
  <si>
    <t>Ponderación</t>
  </si>
  <si>
    <t>Preparación</t>
  </si>
  <si>
    <t xml:space="preserve">Definición de la unidad objeto de ordenación forestal
Asignación de recursos
Inicio del proceso pre y contractual
Conformación del equipo de trabajo  </t>
  </si>
  <si>
    <t>Superficie cubierta en el Plan de Ordenación Forestal adoptado a 31/12/2023 (ha)</t>
  </si>
  <si>
    <t>Aprestamiento</t>
  </si>
  <si>
    <t>Consulta, validación y digitalización de información secundaria
Procesamiento e interpretación de imágenes satelitales
Generación de información cartográfica preliminar
Definición de metodología para levantamiento de información primaria</t>
  </si>
  <si>
    <t>Meta de nuevas hectáreas forestales a ser ordenadas en el Plan de Ordenación Forestal en el cuatrienio (ha)</t>
  </si>
  <si>
    <t>Logística</t>
  </si>
  <si>
    <t>Socialización y acuerdos con actores regionales y locales
Chequeo cartografía en campo
Desarrollo del premuestreo, ajuste y realización del inventario forestal
Desarrollo del componente fauna
Desarrollo del componente socieconomico
Desarrollo del componente suelos</t>
  </si>
  <si>
    <t>Meta de hectáreas forestales a ser actualizadas en el Plan de Ordenación Forestal en el cuatrienio (ha) -si aplica-</t>
  </si>
  <si>
    <t>Oficina</t>
  </si>
  <si>
    <t xml:space="preserve">Procesamiento y análisis de información primaria
Propuesta zonificación inicial de la UOF
Propuesta de zonificación de las áreas forestales que componen la UOF
 Formulación del POF para cada área forestal de la UOF
</t>
  </si>
  <si>
    <t>Meta: hectáreas forestales sujeto de ordenación en el cuatrienio (ha) (B+C)</t>
  </si>
  <si>
    <t>Formulación</t>
  </si>
  <si>
    <t>Socialización versión premiminar de los POF
Armonización de los POF con actores locales y regionales
Edición y ajustes de los POF</t>
  </si>
  <si>
    <t>Superficie total del Plan de Ordenación Forestal a 31/12/2027 (ha)</t>
  </si>
  <si>
    <t>Aprobación</t>
  </si>
  <si>
    <t>Aprobación de los POF por el Consejo Directivo de la autoridad ambiental competente</t>
  </si>
  <si>
    <t>Actividades de referencia  en el proceso de formulación, implementación y seguimiento del Plan de Ordenación Forestal</t>
  </si>
  <si>
    <t>Superficie a ser ordenada en el Plan de Ordenación Forestal (*)</t>
  </si>
  <si>
    <t>Avance (Ponderación acumulada)</t>
  </si>
  <si>
    <t>Meta: hectáreas forestales sujeto de ordenación (a)</t>
  </si>
  <si>
    <t>En formulación</t>
  </si>
  <si>
    <t>En actualización</t>
  </si>
  <si>
    <t>Plan forestal adoptado</t>
  </si>
  <si>
    <t>Superfice de avance anual (ha)</t>
  </si>
  <si>
    <t>(*) Ubique cada superficie sólo en la última etapa que se encuentre</t>
  </si>
  <si>
    <t>Avance Cuatrienal (%)</t>
  </si>
  <si>
    <t>La suma de la superficie de las áreas en proceso de ordenación debe ser igual a la meta de hectáreas forestales a ser ordenadas.</t>
  </si>
  <si>
    <t>Meta de avance anual (%)</t>
  </si>
  <si>
    <t>Relación de áreas a ser ordenadas en el Plan de Ordenación Forestal</t>
  </si>
  <si>
    <t>Meta de avance anual (ha)</t>
  </si>
  <si>
    <t>Nombre del área a ser ordenada</t>
  </si>
  <si>
    <t>Municipios donde se ubica</t>
  </si>
  <si>
    <t>Superficie (ha)</t>
  </si>
  <si>
    <t>Estado de avance (a)</t>
  </si>
  <si>
    <t>Acto administrativo de adopción</t>
  </si>
  <si>
    <t>Determinación de la Meta de Avance Anual</t>
  </si>
  <si>
    <t>Ponderador acumulado esperado en cada fase</t>
  </si>
  <si>
    <t>Hectareas</t>
  </si>
  <si>
    <t>Avance esperado (Ponderación acumulada)</t>
  </si>
  <si>
    <t>(a) en formulación, en actualización, en adopción, adoptado. Si está adoptado, escriba el número del acto administrativo correspondiente.</t>
  </si>
  <si>
    <t>Cuanto más cercano a cien por ciento, mayor es el cumplimiento de las metas establecidas por la Corporación en materia de ordenación de las áreas forestales.</t>
  </si>
  <si>
    <t>Meta de avance anual ponderada (ha)</t>
  </si>
  <si>
    <r>
      <t>Hoja Metodológica de referencia:</t>
    </r>
    <r>
      <rPr>
        <sz val="9"/>
        <color rgb="FF000000"/>
        <rFont val="Calibri"/>
        <family val="2"/>
        <scheme val="minor"/>
      </rPr>
      <t xml:space="preserve"> MADS (2016). </t>
    </r>
    <r>
      <rPr>
        <i/>
        <sz val="9"/>
        <color rgb="FF000000"/>
        <rFont val="Calibri"/>
        <family val="2"/>
        <scheme val="minor"/>
      </rPr>
      <t>Hoja metodológica Porcentaje de avance en la formulación del Plan de Ordenación Forestal (Versión 1.0).</t>
    </r>
    <r>
      <rPr>
        <sz val="9"/>
        <color rgb="FF000000"/>
        <rFont val="Calibri"/>
        <family val="2"/>
        <scheme val="minor"/>
      </rPr>
      <t xml:space="preserve"> Ministerio de Ambiente y Desarrollo Sostenible MADS, DGOAT-SINA y DBBSE.</t>
    </r>
  </si>
  <si>
    <t>Es el porcentaje de avance en la formulación del Plan de Ordenación Forestal, con respecto a la meta de Ordenación Forestal definida en el Plan de Acción de la Corporación.</t>
  </si>
  <si>
    <t>Mide el avance del Plan de Ordenación Forestal, con respecto a la meta de Ordenación Forestal definida en el Plan de Acción de la Corporación. De esta manera, el indicador busca hacer seguimiento a la contribución de las CAR a la Política Nacional de Gestión Integral de la Biodiversidad y sus Servicios Ecosistémicos, así como a los instrumentos de política relacionados con el recurso forestal.</t>
  </si>
  <si>
    <r>
      <t>·</t>
    </r>
    <r>
      <rPr>
        <sz val="7"/>
        <color rgb="FF000000"/>
        <rFont val="Times New Roman"/>
        <family val="1"/>
      </rPr>
      <t xml:space="preserve">        </t>
    </r>
    <r>
      <rPr>
        <sz val="9"/>
        <color rgb="FF000000"/>
        <rFont val="Calibri"/>
        <family val="2"/>
      </rPr>
      <t>Ley 2ª de 1959</t>
    </r>
  </si>
  <si>
    <r>
      <t>·</t>
    </r>
    <r>
      <rPr>
        <sz val="7"/>
        <color rgb="FF000000"/>
        <rFont val="Times New Roman"/>
        <family val="1"/>
      </rPr>
      <t xml:space="preserve">        </t>
    </r>
    <r>
      <rPr>
        <sz val="9"/>
        <color rgb="FF000000"/>
        <rFont val="Calibri"/>
        <family val="2"/>
      </rPr>
      <t>Ley 99 de 1993</t>
    </r>
  </si>
  <si>
    <r>
      <t>·</t>
    </r>
    <r>
      <rPr>
        <sz val="7"/>
        <color rgb="FF000000"/>
        <rFont val="Times New Roman"/>
        <family val="1"/>
      </rPr>
      <t xml:space="preserve">        </t>
    </r>
    <r>
      <rPr>
        <sz val="9"/>
        <color rgb="FF000000"/>
        <rFont val="Calibri"/>
        <family val="2"/>
      </rPr>
      <t>Decreto-Ley 2811 de 1974.</t>
    </r>
  </si>
  <si>
    <r>
      <t>·</t>
    </r>
    <r>
      <rPr>
        <sz val="7"/>
        <color rgb="FF000000"/>
        <rFont val="Times New Roman"/>
        <family val="1"/>
      </rPr>
      <t xml:space="preserve">        </t>
    </r>
    <r>
      <rPr>
        <sz val="9"/>
        <color rgb="FF000000"/>
        <rFont val="Calibri"/>
        <family val="2"/>
      </rPr>
      <t>Decreto 1076 de 2015.</t>
    </r>
  </si>
  <si>
    <t>Los artículos 8°, 79 y 80 de la Constitución Política de Colombia, señalan que es deber del Estado proteger la diversidad e integridad del ambiente, conservar las áreas de especial importancia ecológica, fomentar la educación para el logro de estos fines, planificar el manejo y aprovechamiento de los recursos naturales para garantizar su desarrollo sostenible, su conservación, restauración o sustitución.</t>
  </si>
  <si>
    <t>El Plan de ordenación forestal es el estudio elaborado por las Corporaciones que, fundamentado en la descripción de los aspectos bióticos, abióticos, sociales y económicos, tiene por objeto asegurar que el interesado en utilizar el recurso en un área forestal productora, desarrolle su actividad en forma planificada para así garantizar el manejo adecuado y el aprovechamiento sostenible del recurso</t>
  </si>
  <si>
    <r>
      <t xml:space="preserve">PAPOF </t>
    </r>
    <r>
      <rPr>
        <vertAlign val="subscript"/>
        <sz val="9"/>
        <color rgb="FF000000"/>
        <rFont val="Calibri"/>
        <family val="2"/>
        <scheme val="minor"/>
      </rPr>
      <t>t</t>
    </r>
    <r>
      <rPr>
        <sz val="9"/>
        <color rgb="FF000000"/>
        <rFont val="Calibri"/>
        <family val="2"/>
        <scheme val="minor"/>
      </rPr>
      <t xml:space="preserve"> = Porcentaje de avance en la formulación del Plan de Ordenación Forestal, en el tiempo t.</t>
    </r>
  </si>
  <si>
    <r>
      <t xml:space="preserve">APOF </t>
    </r>
    <r>
      <rPr>
        <vertAlign val="subscript"/>
        <sz val="9"/>
        <color rgb="FF000000"/>
        <rFont val="Calibri"/>
        <family val="2"/>
        <scheme val="minor"/>
      </rPr>
      <t>it</t>
    </r>
    <r>
      <rPr>
        <sz val="9"/>
        <color rgb="FF000000"/>
        <rFont val="Calibri"/>
        <family val="2"/>
        <scheme val="minor"/>
      </rPr>
      <t xml:space="preserve"> = Superficie de avance en la formulación del Plan de Ordenación Forestal (ha), en el tiempo t.</t>
    </r>
  </si>
  <si>
    <r>
      <t xml:space="preserve">MAPOF </t>
    </r>
    <r>
      <rPr>
        <vertAlign val="subscript"/>
        <sz val="9"/>
        <color rgb="FF000000"/>
        <rFont val="Calibri"/>
        <family val="2"/>
        <scheme val="minor"/>
      </rPr>
      <t>it</t>
    </r>
    <r>
      <rPr>
        <sz val="9"/>
        <color rgb="FF000000"/>
        <rFont val="Calibri"/>
        <family val="2"/>
        <scheme val="minor"/>
      </rPr>
      <t xml:space="preserve"> = Meta de avance en la formulación del Plan de Ordenación Forestal (ha), en el tiempo t.</t>
    </r>
  </si>
  <si>
    <t>VARIABLE</t>
  </si>
  <si>
    <t>CONTINENTALES</t>
  </si>
  <si>
    <t>MARINAS, COSTERAS E INSULARES</t>
  </si>
  <si>
    <t>TOTAL</t>
  </si>
  <si>
    <t xml:space="preserve">Número de áreas protegidas cuya administración es responsabilidad de la Corporación Autónoma Regional </t>
  </si>
  <si>
    <t>Número de áreas protegidas con plan de manejo adoptado</t>
  </si>
  <si>
    <t>Número de áreas protegidas con plan de manejo en ejecución</t>
  </si>
  <si>
    <t>Inversión asociada a la ejecución de los planes de manejo de áreas protegidas (Millones de $)</t>
  </si>
  <si>
    <t>Nombre de AP</t>
  </si>
  <si>
    <t>Categoría de AP</t>
  </si>
  <si>
    <t>Ppto.</t>
  </si>
  <si>
    <t>Presupuesto</t>
  </si>
  <si>
    <t>Inicial</t>
  </si>
  <si>
    <t>Definitivo</t>
  </si>
  <si>
    <t>Cuanto más cercano a cien por ciento, mayores son las acciones que la autoridad ambiental realiza para la ejecución de los planes de manejo de las áreas protegidas que están a cargo de la Corporación Autónoma Regional.</t>
  </si>
  <si>
    <r>
      <t>Hoja Metodológica de referencia:</t>
    </r>
    <r>
      <rPr>
        <sz val="9"/>
        <color rgb="FF000000"/>
        <rFont val="Calibri"/>
        <family val="2"/>
        <scheme val="minor"/>
      </rPr>
      <t xml:space="preserve"> MADS (2016). </t>
    </r>
    <r>
      <rPr>
        <i/>
        <sz val="9"/>
        <color rgb="FF000000"/>
        <rFont val="Calibri"/>
        <family val="2"/>
        <scheme val="minor"/>
      </rPr>
      <t>Hoja metodológica Porcentaje de áreas protegidas con planes de manejo en ejecución (Versión 1.0).</t>
    </r>
    <r>
      <rPr>
        <sz val="9"/>
        <color rgb="FF000000"/>
        <rFont val="Calibri"/>
        <family val="2"/>
        <scheme val="minor"/>
      </rPr>
      <t xml:space="preserve"> Ministerio de Ambiente y Desarrollo Sostenible y Parques Nacionales Naturales.</t>
    </r>
  </si>
  <si>
    <t>Se recomienda a las autoridades ambientales que una vez el plan de manejo ya esté aprobado y soportado bajo acto administrativo este sea cargado en la Plataforma del RUNAP. http://runap.parquesnacionales.gov.co)</t>
  </si>
  <si>
    <t xml:space="preserve">Descripción del Indicador </t>
  </si>
  <si>
    <t>Es la relación entre el número de áreas protegidas con planes de manejo en ejecución y el número de áreas protegidas regionales en jurisdicción de la Corporación registradas en el RUNAP, cuya administración es responsabilidad de la autoridad ambiental. Comprende áreas protegidas tanto continentales como marinas, costeras e insulares.</t>
  </si>
  <si>
    <t>El indicador mide que la autoridad ambiental realice acciones dirigidas a la implementación de los planes de manejo de las áreas protegidas, cuya administración es responsabilidad de la autoridad ambiental. De esta manera, la Corporación contribuye a la ejecución a nivel regional de la Política Nacional de Gestión de la Biodiversidad y sus Servicios Ecosistémicos.</t>
  </si>
  <si>
    <t>Política Nacional de Gestión Integral de la Biodiversidad y sus Servicios Ecosistémicos</t>
  </si>
  <si>
    <t>El mencionado Decreto, establece las categorías de áreas protegidas nacionales y regionales.</t>
  </si>
  <si>
    <t>Adicionalmente, el Decreto ibídem, establece que cada una de las áreas protegidas que integran el SINAP contarán con un plan de manejo que será el principal instrumento de planificación que orienta su gestión de conservación para un periodo de cinco (5) años de manera que se evidencien resultados frente al logro de los objetivos de conservación que motivaron su designación y su contribución al desarrollo del SINAP. Este plan deberá formularse dentro del año siguiente a la declaratoria o en el caso de las áreas existentes que se integren al SINAP dentro del año siguiente al registro.</t>
  </si>
  <si>
    <t>Indicador Porcentaje de áreas protegidas con planes de manejo en ejecución</t>
  </si>
  <si>
    <r>
      <t xml:space="preserve">PAPME </t>
    </r>
    <r>
      <rPr>
        <vertAlign val="subscript"/>
        <sz val="9"/>
        <color rgb="FF000000"/>
        <rFont val="Calibri"/>
        <family val="2"/>
        <scheme val="minor"/>
      </rPr>
      <t>t</t>
    </r>
    <r>
      <rPr>
        <sz val="9"/>
        <color rgb="FF000000"/>
        <rFont val="Calibri"/>
        <family val="2"/>
        <scheme val="minor"/>
      </rPr>
      <t xml:space="preserve"> = Porcentaje de áreas protegidas con planes de manejo en ejecución, en el tiempo t.</t>
    </r>
  </si>
  <si>
    <r>
      <t xml:space="preserve">APME </t>
    </r>
    <r>
      <rPr>
        <vertAlign val="subscript"/>
        <sz val="9"/>
        <color rgb="FF000000"/>
        <rFont val="Calibri"/>
        <family val="2"/>
        <scheme val="minor"/>
      </rPr>
      <t>it</t>
    </r>
    <r>
      <rPr>
        <sz val="9"/>
        <color rgb="FF000000"/>
        <rFont val="Calibri"/>
        <family val="2"/>
        <scheme val="minor"/>
      </rPr>
      <t xml:space="preserve"> = Número de áreas protegidas </t>
    </r>
    <r>
      <rPr>
        <i/>
        <sz val="9"/>
        <color rgb="FF000000"/>
        <rFont val="Calibri"/>
        <family val="2"/>
        <scheme val="minor"/>
      </rPr>
      <t>i</t>
    </r>
    <r>
      <rPr>
        <sz val="9"/>
        <color rgb="FF000000"/>
        <rFont val="Calibri"/>
        <family val="2"/>
        <scheme val="minor"/>
      </rPr>
      <t xml:space="preserve"> con planes de manejo en ejecución, en el tiempo t.</t>
    </r>
  </si>
  <si>
    <r>
      <t xml:space="preserve">APCAR </t>
    </r>
    <r>
      <rPr>
        <vertAlign val="subscript"/>
        <sz val="9"/>
        <color rgb="FF000000"/>
        <rFont val="Calibri"/>
        <family val="2"/>
        <scheme val="minor"/>
      </rPr>
      <t>it</t>
    </r>
    <r>
      <rPr>
        <sz val="9"/>
        <color rgb="FF000000"/>
        <rFont val="Calibri"/>
        <family val="2"/>
        <scheme val="minor"/>
      </rPr>
      <t xml:space="preserve"> = Número de áreas protegidas </t>
    </r>
    <r>
      <rPr>
        <i/>
        <sz val="9"/>
        <color rgb="FF000000"/>
        <rFont val="Calibri"/>
        <family val="2"/>
        <scheme val="minor"/>
      </rPr>
      <t>i</t>
    </r>
    <r>
      <rPr>
        <sz val="9"/>
        <color rgb="FF000000"/>
        <rFont val="Calibri"/>
        <family val="2"/>
        <scheme val="minor"/>
      </rPr>
      <t xml:space="preserve"> cuya administración es responsabilidad de la Corporación Autónoma Regional, en el tiempo t.</t>
    </r>
  </si>
  <si>
    <t>Inversión asociada a la ejecución de los planes de manejo de áreas protegidas</t>
  </si>
  <si>
    <r>
      <t xml:space="preserve">IPMAP </t>
    </r>
    <r>
      <rPr>
        <vertAlign val="subscript"/>
        <sz val="9"/>
        <color rgb="FF000000"/>
        <rFont val="Calibri"/>
        <family val="2"/>
        <scheme val="minor"/>
      </rPr>
      <t>t</t>
    </r>
    <r>
      <rPr>
        <sz val="9"/>
        <color rgb="FF000000"/>
        <rFont val="Calibri"/>
        <family val="2"/>
        <scheme val="minor"/>
      </rPr>
      <t xml:space="preserve"> = Inversión asociada a la ejecución de los planes de manejo de las áreas protegidas a cargo de la Corporación Autónoma Regional, en el año t.</t>
    </r>
  </si>
  <si>
    <r>
      <t xml:space="preserve">PDAP </t>
    </r>
    <r>
      <rPr>
        <vertAlign val="subscript"/>
        <sz val="9"/>
        <color rgb="FF000000"/>
        <rFont val="Calibri"/>
        <family val="2"/>
        <scheme val="minor"/>
      </rPr>
      <t>i</t>
    </r>
    <r>
      <rPr>
        <sz val="9"/>
        <color rgb="FF000000"/>
        <rFont val="Calibri"/>
        <family val="2"/>
        <scheme val="minor"/>
      </rPr>
      <t xml:space="preserve"> = Presupuesto definitivo asociado a la ejecución del plan de manejo del área protegida i, en el año t.</t>
    </r>
  </si>
  <si>
    <t>ESPECIES AMENAZADAS CONTINENTALES</t>
  </si>
  <si>
    <t>ESPECIES AMENAZADAS MARINAS</t>
  </si>
  <si>
    <t>FLORA</t>
  </si>
  <si>
    <t>FAUNA</t>
  </si>
  <si>
    <t>CR</t>
  </si>
  <si>
    <t>EN</t>
  </si>
  <si>
    <t>VU</t>
  </si>
  <si>
    <t>Número de especies amenazadas presentes en la jurisdicción</t>
  </si>
  <si>
    <t>Número de especies amenazadas con medidas de conservación y manejo formulado</t>
  </si>
  <si>
    <t>Número de especies amenazadas con medidas de conservación y manejo en ejecución</t>
  </si>
  <si>
    <t>(CR) Especie en peligro crítico</t>
  </si>
  <si>
    <t>(EN) Especie en peligro</t>
  </si>
  <si>
    <t>(VU) Especie vulnerable</t>
  </si>
  <si>
    <t>Inversión asociada a la ejecución de las medidas de conservación y manejo de especies amenazadas (Millones de $)</t>
  </si>
  <si>
    <t>Tipo (Continental o marina)</t>
  </si>
  <si>
    <t>Tipo (Flora o fauna)</t>
  </si>
  <si>
    <t>Nombre (común y/o científico)</t>
  </si>
  <si>
    <t>Cuanto más cercano a cien por ciento, mayores son las acciones que la autoridad ambiental realiza para la ejecución de las medidas de conservación y manejo de las especies amenazadas que cuentan con plan de manejo, dadas las prioridades regionales que se han definido en este campo.</t>
  </si>
  <si>
    <t>Ministerio de Ambiente y Desarrollo Sostenible - MADS</t>
  </si>
  <si>
    <r>
      <t>Hoja Metodológica de referencia:</t>
    </r>
    <r>
      <rPr>
        <sz val="9"/>
        <color rgb="FF000000"/>
        <rFont val="Calibri"/>
        <family val="2"/>
        <scheme val="minor"/>
      </rPr>
      <t xml:space="preserve"> MADS (2016). </t>
    </r>
    <r>
      <rPr>
        <i/>
        <sz val="9"/>
        <color rgb="FF000000"/>
        <rFont val="Calibri"/>
        <family val="2"/>
        <scheme val="minor"/>
      </rPr>
      <t>Hoja metodológica Porcentaje de especies amenazadas con medidas de manejo en ejecución (Versión 1.0).</t>
    </r>
    <r>
      <rPr>
        <sz val="9"/>
        <color rgb="FF000000"/>
        <rFont val="Calibri"/>
        <family val="2"/>
        <scheme val="minor"/>
      </rPr>
      <t xml:space="preserve"> Ministerio de Ambiente y Desarrollo Sostenible MADS, DGOAT-SINA, DBBSE y DAMCRA.</t>
    </r>
  </si>
  <si>
    <t>- La formulación de las medidas de conservación y manejo estaran a cargo del MADS y/o de las CARs.</t>
  </si>
  <si>
    <t>- Como limitación tambien se identifica la información disponible que sobre estas especies pueda tener cada CAR.</t>
  </si>
  <si>
    <t>Es la relación entre el número de especies amenazadas con medidas de conservación y manejo en ejecución y el número de especies que cuentan con medidas de manejo formuladas, tanto para fauna y flora como en el medio continental y marino.</t>
  </si>
  <si>
    <t>El indicador mide que la autoridad ambiental realice acciones dirigidas a la implementación de las medidas de conservación y manejo de especies amenazadas. De esta manera, la Corporación contribuye a la ejecución a nivel regional de la Política Nacional de Gestión de la Biodiversidad y sus Servicios Ecosistémicos, así como de las Metas Aichi.</t>
  </si>
  <si>
    <t>Decreto 1071 de 2015, compilatorio del Decreto 1124 de 2013, por el cual se adopta el Plan de Acción Nacional para la Conservación y Manejo de Tiburones, Rayas y Quimeras de Colombia – PAN Tiburones Colombia</t>
  </si>
  <si>
    <t>Resolución 2210 de 2010</t>
  </si>
  <si>
    <t>Resolución 0192 de 2014</t>
  </si>
  <si>
    <t>El Plan Estratégico para la Diversidad Biológica 2011-2020 y las Metas de Aichi se agrupan en los siguientes objetivos estratégicos:</t>
  </si>
  <si>
    <r>
      <t>A.</t>
    </r>
    <r>
      <rPr>
        <sz val="7"/>
        <color rgb="FF000000"/>
        <rFont val="Times New Roman"/>
        <family val="1"/>
      </rPr>
      <t xml:space="preserve">    </t>
    </r>
    <r>
      <rPr>
        <sz val="9"/>
        <color rgb="FF000000"/>
        <rFont val="Calibri"/>
        <family val="2"/>
      </rPr>
      <t>Abordar las causas subyacentes de la pérdida de diversidad biológica mediante la incorporación de la diversidad biológica en todos los ámbitos gubernamentales y de la sociedad.</t>
    </r>
  </si>
  <si>
    <r>
      <t>B.</t>
    </r>
    <r>
      <rPr>
        <sz val="7"/>
        <color rgb="FF000000"/>
        <rFont val="Times New Roman"/>
        <family val="1"/>
      </rPr>
      <t xml:space="preserve">    </t>
    </r>
    <r>
      <rPr>
        <sz val="9"/>
        <color rgb="FF000000"/>
        <rFont val="Calibri"/>
        <family val="2"/>
      </rPr>
      <t>Reducir las presiones directas sobre la diversidad biológica y promover la utilización sostenible.</t>
    </r>
  </si>
  <si>
    <r>
      <t>C.</t>
    </r>
    <r>
      <rPr>
        <sz val="7"/>
        <color rgb="FF000000"/>
        <rFont val="Times New Roman"/>
        <family val="1"/>
      </rPr>
      <t xml:space="preserve">    </t>
    </r>
    <r>
      <rPr>
        <sz val="9"/>
        <color rgb="FF000000"/>
        <rFont val="Calibri"/>
        <family val="2"/>
      </rPr>
      <t>Mejorar la situación de la diversidad biológica salvaguardando los ecosistemas, las especies y la diversidad genética.</t>
    </r>
  </si>
  <si>
    <r>
      <t>D.</t>
    </r>
    <r>
      <rPr>
        <sz val="7"/>
        <color rgb="FF000000"/>
        <rFont val="Times New Roman"/>
        <family val="1"/>
      </rPr>
      <t xml:space="preserve">    </t>
    </r>
    <r>
      <rPr>
        <sz val="9"/>
        <color rgb="FF000000"/>
        <rFont val="Calibri"/>
        <family val="2"/>
      </rPr>
      <t>Aumentar los beneficios de la diversidad biológica y los servicios de los ecosistemas para todos</t>
    </r>
  </si>
  <si>
    <t>La Resolución 192 de 2014 define Especie Amenazada, como aquella que ha sido declarada como tal por Tratados o Convenios Internacionales aprobados y ratificados por Colombia o haya sido declarada en alguna categoría de amenaza por el Ministerio de Ambiente y Desarrollo Sostenible.</t>
  </si>
  <si>
    <t>Especie en Peligro Crítico (CR): Aquellas que están enfrentando un riesgo de extinción extremadamente alto en estado de vida silvestre.</t>
  </si>
  <si>
    <t>Especie en Peligro (EN): Aquellas que están enfrentando un riesgo de extinción muy alto en estado de vida silvestre.</t>
  </si>
  <si>
    <t>Especie Vulnerable (VU): Aquellas que están enfrentando un riesgo de extinción alto en estado de vida silvestre.</t>
  </si>
  <si>
    <t>Adicionalmente, la Resolución 192 de 2014 establece que “el Ministerio de Ambiente y Desarrollo Sostenible en conjunto con las demás entidades del SINA, definirán las medidas de conservación y manejo de las especies amenazadas, sin perjuicio de las funciones y competencias asignadas a otras entidades públicas”</t>
  </si>
  <si>
    <t>Indicador Porcentaje de especies amenazadas con medidas de manejo en ejecución</t>
  </si>
  <si>
    <t xml:space="preserve"> x 100</t>
  </si>
  <si>
    <r>
      <t xml:space="preserve">PEAMME </t>
    </r>
    <r>
      <rPr>
        <vertAlign val="subscript"/>
        <sz val="9"/>
        <color rgb="FF000000"/>
        <rFont val="Calibri"/>
        <family val="2"/>
        <scheme val="minor"/>
      </rPr>
      <t>t</t>
    </r>
    <r>
      <rPr>
        <sz val="9"/>
        <color rgb="FF000000"/>
        <rFont val="Calibri"/>
        <family val="2"/>
        <scheme val="minor"/>
      </rPr>
      <t xml:space="preserve"> = Porcentaje de especies amenazadas con medidas de conservación y manejo en ejecución, en tiempo t.</t>
    </r>
  </si>
  <si>
    <r>
      <t xml:space="preserve">EAMME </t>
    </r>
    <r>
      <rPr>
        <vertAlign val="subscript"/>
        <sz val="9"/>
        <color rgb="FF000000"/>
        <rFont val="Calibri"/>
        <family val="2"/>
        <scheme val="minor"/>
      </rPr>
      <t>it</t>
    </r>
    <r>
      <rPr>
        <sz val="9"/>
        <color rgb="FF000000"/>
        <rFont val="Calibri"/>
        <family val="2"/>
        <scheme val="minor"/>
      </rPr>
      <t xml:space="preserve"> = Número de especies amenazadas </t>
    </r>
    <r>
      <rPr>
        <i/>
        <sz val="9"/>
        <color rgb="FF000000"/>
        <rFont val="Calibri"/>
        <family val="2"/>
        <scheme val="minor"/>
      </rPr>
      <t>i</t>
    </r>
    <r>
      <rPr>
        <sz val="9"/>
        <color rgb="FF000000"/>
        <rFont val="Calibri"/>
        <family val="2"/>
        <scheme val="minor"/>
      </rPr>
      <t xml:space="preserve"> con medidas de conservación y manejo en ejecución, en el tiempo t.</t>
    </r>
  </si>
  <si>
    <r>
      <t xml:space="preserve">EAMMF </t>
    </r>
    <r>
      <rPr>
        <vertAlign val="subscript"/>
        <sz val="9"/>
        <color rgb="FF000000"/>
        <rFont val="Calibri"/>
        <family val="2"/>
        <scheme val="minor"/>
      </rPr>
      <t>it</t>
    </r>
    <r>
      <rPr>
        <sz val="9"/>
        <color rgb="FF000000"/>
        <rFont val="Calibri"/>
        <family val="2"/>
        <scheme val="minor"/>
      </rPr>
      <t xml:space="preserve"> = Número de especies amenazadas </t>
    </r>
    <r>
      <rPr>
        <i/>
        <sz val="9"/>
        <color rgb="FF000000"/>
        <rFont val="Calibri"/>
        <family val="2"/>
        <scheme val="minor"/>
      </rPr>
      <t>i</t>
    </r>
    <r>
      <rPr>
        <sz val="9"/>
        <color rgb="FF000000"/>
        <rFont val="Calibri"/>
        <family val="2"/>
        <scheme val="minor"/>
      </rPr>
      <t xml:space="preserve"> con medidas de conservación y manejo formuladas, en el tiempo t.</t>
    </r>
  </si>
  <si>
    <t>Inversión asociada a la ejecución de las medidas de conservación y manejo de especies amenazadas</t>
  </si>
  <si>
    <r>
      <t xml:space="preserve">IMMEA </t>
    </r>
    <r>
      <rPr>
        <vertAlign val="subscript"/>
        <sz val="9"/>
        <color rgb="FF000000"/>
        <rFont val="Calibri"/>
        <family val="2"/>
        <scheme val="minor"/>
      </rPr>
      <t>t</t>
    </r>
    <r>
      <rPr>
        <sz val="9"/>
        <color rgb="FF000000"/>
        <rFont val="Calibri"/>
        <family val="2"/>
        <scheme val="minor"/>
      </rPr>
      <t xml:space="preserve"> = Inversión asociada a la ejecución de las medidas de conservación y manejo de especies amenazadas, en el año t.</t>
    </r>
  </si>
  <si>
    <r>
      <t xml:space="preserve">PDEA </t>
    </r>
    <r>
      <rPr>
        <vertAlign val="subscript"/>
        <sz val="9"/>
        <color rgb="FF000000"/>
        <rFont val="Calibri"/>
        <family val="2"/>
        <scheme val="minor"/>
      </rPr>
      <t>i</t>
    </r>
    <r>
      <rPr>
        <sz val="9"/>
        <color rgb="FF000000"/>
        <rFont val="Calibri"/>
        <family val="2"/>
        <scheme val="minor"/>
      </rPr>
      <t xml:space="preserve"> = Presupuesto definitivo asociado a la ejecución de medidas de conservación y manejo de la especie amenazada i, en el año t.</t>
    </r>
  </si>
  <si>
    <t>CONTINENTAL</t>
  </si>
  <si>
    <t>MARINA</t>
  </si>
  <si>
    <t>SUBTOTAL</t>
  </si>
  <si>
    <t>Número de especies invasoras en la jurisdicción</t>
  </si>
  <si>
    <t>Número de especies invasoras con medidas de prevención, control y manejo formulado</t>
  </si>
  <si>
    <t>Número de especies invasoras con medidas de prevención, control y manejo en ejecución</t>
  </si>
  <si>
    <t>Inversión asociada a la ejecución de las medidas de prevención, control y manejo de especies invasoras (Millones de $)</t>
  </si>
  <si>
    <t>Cuanto más cercano a cien por ciento, mayores son las acciones que la autoridad ambiental realiza para la ejecución de las medidas de prevención, control y manejo de las especies invasoras que cuentan con medidas de prevención, control y manejo, dadas las prioridades regionales que se han definido en este campo.</t>
  </si>
  <si>
    <t>Se pueden presentar situaciones de orden operativo, financiero, político y social que pueden afectar los presupuestos y los cronogramas definidos en el Plan de Acción de la Corporación. Así mismo, pueden existir limitaciones de información sobre las especies invasoras presentes en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</si>
  <si>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especies invasoras con medidas de manejo en ejecución (Versión 1.0).</t>
    </r>
    <r>
      <rPr>
        <sz val="9"/>
        <color rgb="FF000000"/>
        <rFont val="Calibri"/>
        <family val="2"/>
        <scheme val="minor"/>
      </rPr>
      <t xml:space="preserve"> Ministerio de Ambiente y Desarrollo Sostenible MADS, DGOAT-SINA, DBBSE y DAMCRA.</t>
    </r>
  </si>
  <si>
    <t>La formulación de las medidas de prevención, control y manejo estarán a cargo del MADS y/o las CARs.</t>
  </si>
  <si>
    <t>Es la relación entre el número de especies invasoras con medidas de prevención, control y manejo en ejecución y el número de especies que cuentan con medidas de prevención, control y manejo formulado, tanto para fauna y flora como en el medio continental y marino.</t>
  </si>
  <si>
    <t>El indicador mide que la autoridad ambiental realice acciones dirigidas a la implementación de las medidas de prevención, control y manejo de especies invasoras. De esta manera, la Corporación contribuye a la ejecución a nivel regional de la Política Nacional de Gestión de la Biodiversidad y sus Servicios Ecosistémicos, así como al cumplimiento de las Metas Aichi.</t>
  </si>
  <si>
    <t>Resolución 848 de 2008, especies exóticas invasoras.</t>
  </si>
  <si>
    <t>Resolución 132 de 2010, pez león.</t>
  </si>
  <si>
    <t>Resolución 207 de 2010, pez león y caracol tigre.</t>
  </si>
  <si>
    <t>Resolución 654 de 2011, caracol gigante africano.</t>
  </si>
  <si>
    <t>Resolución 675 de 2013, adopta el Plan y Protocolo de manejo del pez león.</t>
  </si>
  <si>
    <t>Plan de Acción para la Prevención, Manejo y Control de las Especies Introducidas, Trasplantadas e Invasoras.</t>
  </si>
  <si>
    <t>Baptiste M.P., Castaño N., Cárdenas D., Gutiérrez F. P., Gil D.L. y Lasso C.A. (eds). 2010. Análisis de riesgo y propuesta de categorización de especies introducidas para Colombia. Instituto de Investigación de Recursos Biológicos Alexander von Humboldt. Bogotá, D. C., Colombia. 200 p.</t>
  </si>
  <si>
    <t>Las especies invasoras, son la segunda causa de pérdida de biodiversidad en el mundo, ya que afectan su funcionalidad y estructura además de traer consecuencias de alto impacto en el ámbito económico, la salud pública y la cultura (Baptiste et al., 2010).</t>
  </si>
  <si>
    <t>El Convenio sobre Diversidad Biológica, aprobado en Colombia a través de la Ley 165 de 1994, se refiere en el artículo 8° a las obligaciones de los países parte y en su literal h) establece: “impedirá que se introduzcan, controlará o erradicará las especies exóticas que amenacen a ecosistemas, hábitats o especies.</t>
  </si>
  <si>
    <t>Se entiende por especies exóticas de carácter invasor aquellas que han sido capaces de colonizar efectivamente un área en donde se ha interrumpido la barrera geográfica y se han propagado sin asistencia humana directa en hábitats naturales o seminaturales y cuyo establecimiento y expansión amenaza los ecosistemas, hábitats o especies con daños económicos o ambientales (Resolución 848 de 2008).</t>
  </si>
  <si>
    <t>El artículo 3° de la Resolución 848 de 2008 establece que las autoridades ambientales regionales deberán tomar medidas para la prevención, control y manejo de las especies introducidas exóticas, invasoras y trasplantadas presentes en el territorio nacional, que se estimen pertinentes, tales como el otorgamiento de permisos de caza de control y demás medidas de manejo que resulten aplicables conforme a las disposiciones legales vigentes.</t>
  </si>
  <si>
    <r>
      <t xml:space="preserve">PEIME </t>
    </r>
    <r>
      <rPr>
        <vertAlign val="subscript"/>
        <sz val="9"/>
        <color rgb="FF000000"/>
        <rFont val="Calibri"/>
        <family val="2"/>
        <scheme val="minor"/>
      </rPr>
      <t>t</t>
    </r>
    <r>
      <rPr>
        <sz val="9"/>
        <color rgb="FF000000"/>
        <rFont val="Calibri"/>
        <family val="2"/>
        <scheme val="minor"/>
      </rPr>
      <t xml:space="preserve"> = Porcentaje de especies invasoras con medidas de prevención, control y manejo en ejecución, en tiempo t.</t>
    </r>
  </si>
  <si>
    <r>
      <t xml:space="preserve">EIPMEE </t>
    </r>
    <r>
      <rPr>
        <vertAlign val="subscript"/>
        <sz val="9"/>
        <color rgb="FF000000"/>
        <rFont val="Calibri"/>
        <family val="2"/>
        <scheme val="minor"/>
      </rPr>
      <t>it</t>
    </r>
    <r>
      <rPr>
        <sz val="9"/>
        <color rgb="FF000000"/>
        <rFont val="Calibri"/>
        <family val="2"/>
        <scheme val="minor"/>
      </rPr>
      <t xml:space="preserve"> = Número de especies invasoras </t>
    </r>
    <r>
      <rPr>
        <i/>
        <sz val="9"/>
        <color rgb="FF000000"/>
        <rFont val="Calibri"/>
        <family val="2"/>
        <scheme val="minor"/>
      </rPr>
      <t>i</t>
    </r>
    <r>
      <rPr>
        <sz val="9"/>
        <color rgb="FF000000"/>
        <rFont val="Calibri"/>
        <family val="2"/>
        <scheme val="minor"/>
      </rPr>
      <t xml:space="preserve"> con medidas de prevención, control y manejo en ejecución, en tiempo t.</t>
    </r>
  </si>
  <si>
    <r>
      <t xml:space="preserve">EIPMEF </t>
    </r>
    <r>
      <rPr>
        <vertAlign val="subscript"/>
        <sz val="9"/>
        <color rgb="FF000000"/>
        <rFont val="Calibri"/>
        <family val="2"/>
        <scheme val="minor"/>
      </rPr>
      <t>it</t>
    </r>
    <r>
      <rPr>
        <sz val="9"/>
        <color rgb="FF000000"/>
        <rFont val="Calibri"/>
        <family val="2"/>
        <scheme val="minor"/>
      </rPr>
      <t xml:space="preserve"> = Número de especies invasoras </t>
    </r>
    <r>
      <rPr>
        <i/>
        <sz val="9"/>
        <color rgb="FF000000"/>
        <rFont val="Calibri"/>
        <family val="2"/>
        <scheme val="minor"/>
      </rPr>
      <t>i</t>
    </r>
    <r>
      <rPr>
        <sz val="9"/>
        <color rgb="FF000000"/>
        <rFont val="Calibri"/>
        <family val="2"/>
        <scheme val="minor"/>
      </rPr>
      <t xml:space="preserve"> con medidas de prevención, control y manejo formulado, en el tiempo t.</t>
    </r>
  </si>
  <si>
    <t>Inversión asociada a la ejecución de medidas de manejo de especies invasoras</t>
  </si>
  <si>
    <r>
      <t xml:space="preserve">IPMEI </t>
    </r>
    <r>
      <rPr>
        <vertAlign val="subscript"/>
        <sz val="9"/>
        <color rgb="FF000000"/>
        <rFont val="Calibri"/>
        <family val="2"/>
        <scheme val="minor"/>
      </rPr>
      <t>t</t>
    </r>
    <r>
      <rPr>
        <sz val="9"/>
        <color rgb="FF000000"/>
        <rFont val="Calibri"/>
        <family val="2"/>
        <scheme val="minor"/>
      </rPr>
      <t xml:space="preserve"> = Inversión asociada a la ejecución de las medidas de prevención, control y manejo de especies invasoras, en el año t.</t>
    </r>
  </si>
  <si>
    <r>
      <t xml:space="preserve">PDEI </t>
    </r>
    <r>
      <rPr>
        <vertAlign val="subscript"/>
        <sz val="9"/>
        <color rgb="FF000000"/>
        <rFont val="Calibri"/>
        <family val="2"/>
        <scheme val="minor"/>
      </rPr>
      <t>i</t>
    </r>
    <r>
      <rPr>
        <sz val="9"/>
        <color rgb="FF000000"/>
        <rFont val="Calibri"/>
        <family val="2"/>
        <scheme val="minor"/>
      </rPr>
      <t xml:space="preserve"> = Presupuesto definitivo asociado a la ejecución de las medidas de prevención, control y manejo de la especie invasora i, en el año t.</t>
    </r>
  </si>
  <si>
    <t>Meta de áreas de ecosistemas en restauración, rehabilitación y recuperación (ha)</t>
  </si>
  <si>
    <t>Áreas de ecosistemas en restauración ecológica</t>
  </si>
  <si>
    <t>Áreas de ecosistemas en rehabilitación</t>
  </si>
  <si>
    <t>Áreas de ecosistemas en recuperación</t>
  </si>
  <si>
    <t>Inversión asociada a restauración, rehabilitación y recuperación de los ecosistemas (Millones de $)</t>
  </si>
  <si>
    <t>Tipo de acción (restauración, rehabilitación o recuperación)</t>
  </si>
  <si>
    <t>Área en restauración, rehabilitación o recuperación (ha)</t>
  </si>
  <si>
    <t>Cuanto más cercano a cien por ciento, mayor es el cumplimiento de las metas establecidas por la Corporación en materia de restauración, rehabilitación y reforestación.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</si>
  <si>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áreas de ecosistemas en restauración, rehabilitación y reforestación (Versión 1.0).</t>
    </r>
    <r>
      <rPr>
        <sz val="9"/>
        <color rgb="FF000000"/>
        <rFont val="Calibri"/>
        <family val="2"/>
        <scheme val="minor"/>
      </rPr>
      <t xml:space="preserve"> Ministerio de Ambiente y Desarrollo Sostenible MADS, DGOAT-SINA, DBBSE y DAMCRA.</t>
    </r>
  </si>
  <si>
    <t>Mide la superficie de ecosistemas en restauración, rehabilitación y reforestación, con respecto a la meta de áreas en restauración, rehabilitación y recuperación priorizadas por la Corporación.</t>
  </si>
  <si>
    <t>El indicador busca hacer seguimiento a la contribución de las CAR a la Política Nacional de Gestión Integral de la Biodiversidad y sus Servicios Ecosistémicos y específicamente las acciones relacionadas con la restauración, recuperación y rehabilitación de ecosistemas.</t>
  </si>
  <si>
    <t>Contribución a la Meta del plan de desarrollo (Hectáreas en Proceso de Restauración)</t>
  </si>
  <si>
    <t>Plan Nacional de Restauración</t>
  </si>
  <si>
    <t>El Plan Nacional de Restauración concibe la restauración, en su visión amplia, como el restablecimiento parcial o totalmente la composición, estructura y función de la biodiversidad, que hayan sido alterados o degradados.</t>
  </si>
  <si>
    <t>La restauración ecológica, por su parte, es el proceso de ayudar al restablecimiento de un ecosistema que se ha degradado, dañado o destruido. Es una actividad deliberada que inicia o acelera la recuperación de un ecosistema con respecto a su salud, integridad y sostenibilidad y busca iniciar o facilitar la reanudación de estos procesos, los cuales retornarán el ecosistema a la trayectoria deseada.</t>
  </si>
  <si>
    <t>La rehabilitación de ecosistemas enfatiza la reparación de los procesos, la productividad y los servicios de un ecosistema. Comparte con la restauración un enfoque fundamental en los ecosistemas históricos o preexistentes como modelos o referencias, pero las dos actividades difieren en sus metas y estrategias.</t>
  </si>
  <si>
    <t>La recuperación de ecosistemas incluye la estabilización del terreno, el aseguramiento de la seguridad pública, el mejoramiento estético y, por lo general, el retorno de las tierras a lo que se consideraría un propósito útil dentro del contexto regional.</t>
  </si>
  <si>
    <t>Se debe tener en cuenta que la restauración es un proceso a largo plazo por lo que sólo el establecimiento (revegetación) no significa que el ecosistema haya sido restaurado, si no que corresponde a una fase en el proceso, por lo tanto, las hectáreas establecidas se encuentran en “Proceso de restauración”.</t>
  </si>
  <si>
    <t>Se considera que el proyecto de restauración, en este caso el área, se encuentra en proceso de restauración cuando se han realizado las etapas de un proyecto de restauración.</t>
  </si>
  <si>
    <t>Las mencionadas etapas de un proyecto de restauración, identificadas en el Plan Nacional de Restauración, son: a. planeación del proyecto de restauración; b. ejecución; c. mantenimiento; d. monitoreo; y e. divulgación de modelos regionales.</t>
  </si>
  <si>
    <r>
      <t xml:space="preserve">PAERRR </t>
    </r>
    <r>
      <rPr>
        <vertAlign val="subscript"/>
        <sz val="9"/>
        <color rgb="FF000000"/>
        <rFont val="Calibri"/>
        <family val="2"/>
        <scheme val="minor"/>
      </rPr>
      <t>t</t>
    </r>
    <r>
      <rPr>
        <sz val="9"/>
        <color rgb="FF000000"/>
        <rFont val="Calibri"/>
        <family val="2"/>
        <scheme val="minor"/>
      </rPr>
      <t xml:space="preserve"> = Porcentaje de áreas de ecosistemas en restauración, rehabilitación y recuperación, en el tiempo t.</t>
    </r>
  </si>
  <si>
    <r>
      <t xml:space="preserve">AERRR </t>
    </r>
    <r>
      <rPr>
        <vertAlign val="subscript"/>
        <sz val="9"/>
        <color rgb="FF000000"/>
        <rFont val="Calibri"/>
        <family val="2"/>
        <scheme val="minor"/>
      </rPr>
      <t>it</t>
    </r>
    <r>
      <rPr>
        <sz val="9"/>
        <color rgb="FF000000"/>
        <rFont val="Calibri"/>
        <family val="2"/>
        <scheme val="minor"/>
      </rPr>
      <t xml:space="preserve"> = Superficie de áreas en restauración, rehabilitación y recuperación (ha), en el tiempo t.</t>
    </r>
  </si>
  <si>
    <r>
      <t xml:space="preserve">MAERRR </t>
    </r>
    <r>
      <rPr>
        <vertAlign val="subscript"/>
        <sz val="9"/>
        <color rgb="FF000000"/>
        <rFont val="Calibri"/>
        <family val="2"/>
        <scheme val="minor"/>
      </rPr>
      <t>it</t>
    </r>
    <r>
      <rPr>
        <sz val="9"/>
        <color rgb="FF000000"/>
        <rFont val="Calibri"/>
        <family val="2"/>
        <scheme val="minor"/>
      </rPr>
      <t xml:space="preserve"> = Meta de áreas en restauración, rehabilitación y recuperación (ha), en el tiempo t.</t>
    </r>
  </si>
  <si>
    <t>Inversión asociada a restauración, rehabilitación y recuperación de los ecosistemas naturales</t>
  </si>
  <si>
    <t>(Millones de $)</t>
  </si>
  <si>
    <r>
      <t xml:space="preserve">IRRR </t>
    </r>
    <r>
      <rPr>
        <vertAlign val="subscript"/>
        <sz val="9"/>
        <color rgb="FF000000"/>
        <rFont val="Calibri"/>
        <family val="2"/>
        <scheme val="minor"/>
      </rPr>
      <t>t</t>
    </r>
    <r>
      <rPr>
        <sz val="9"/>
        <color rgb="FF000000"/>
        <rFont val="Calibri"/>
        <family val="2"/>
        <scheme val="minor"/>
      </rPr>
      <t xml:space="preserve"> = Inversión asociada a restauración, rehabilitación y recuperación de los ecosistemas naturales, en el año t.</t>
    </r>
  </si>
  <si>
    <r>
      <t xml:space="preserve">PDIRRR </t>
    </r>
    <r>
      <rPr>
        <vertAlign val="subscript"/>
        <sz val="9"/>
        <color rgb="FF000000"/>
        <rFont val="Calibri"/>
        <family val="2"/>
        <scheme val="minor"/>
      </rPr>
      <t>i</t>
    </r>
    <r>
      <rPr>
        <sz val="9"/>
        <color rgb="FF000000"/>
        <rFont val="Calibri"/>
        <family val="2"/>
        <scheme val="minor"/>
      </rPr>
      <t xml:space="preserve"> = Presupuesto definitivo asociado a la ejecución de la acción o proyecto i relacionado con la restauración, rehabilitación y recuperación de los ecosistemas naturales, en el año t.</t>
    </r>
  </si>
  <si>
    <t>Porcentaje de ejecución de acciones relacionadas con el manejo integrado de zonas costeras.</t>
  </si>
  <si>
    <t>Acumulado</t>
  </si>
  <si>
    <t>Número de acciones relacionadas con el manejo integrado de zonas Costeras</t>
  </si>
  <si>
    <t>Ejecución física de las acciones relacionadas con el manejo integrado de zonas costeras</t>
  </si>
  <si>
    <t>Temática</t>
  </si>
  <si>
    <t>Ejecución Física (%)</t>
  </si>
  <si>
    <t>% Ejecución Física Cuatrienal</t>
  </si>
  <si>
    <t>% Ejecución Física Anual</t>
  </si>
  <si>
    <t>Ponderación (100%)</t>
  </si>
  <si>
    <t>Ejecución ponderada (%)</t>
  </si>
  <si>
    <t>Planificación y ordenamiento de UAC</t>
  </si>
  <si>
    <t>Gestión ambiental en las zonas costeras</t>
  </si>
  <si>
    <t>Articulación junto con los entes territoriales en el manejo integrado de zonas costeras</t>
  </si>
  <si>
    <t>Educación y participación en MIZC</t>
  </si>
  <si>
    <t>Gestión de Información en MIZC</t>
  </si>
  <si>
    <t>(*) Nombre de la acción, actividad o proyecto en el Plan de Acción de la Corporación.</t>
  </si>
  <si>
    <t>Cuanto más cercano a cien por ciento, mayor es el cumplimiento de las metas que la autoridad ambiental se ha propuesto alcanzar en relación con el manejo integrado de zonas costeras, en el marco del Plan de Acción de la Corporación.</t>
  </si>
  <si>
    <t>Se pueden presentar situaciones de orden operativo, financiero, político y social que pueden afectar los presupuestos y los cronogramas definidos en el Plan de Acción de la Corporación. Así mismo, pueden existir limitaciones sobre la disponibilidad de información.</t>
  </si>
  <si>
    <r>
      <t xml:space="preserve">Hoja Metodológica de referencia: MADS (2016). </t>
    </r>
    <r>
      <rPr>
        <i/>
        <sz val="9"/>
        <color rgb="FF000000"/>
        <rFont val="Calibri"/>
        <family val="2"/>
        <scheme val="minor"/>
      </rPr>
      <t>Hoja metodológica Ejecución de acciones en Manejo Integrado de Zonas Costeras (Versión 1.0).</t>
    </r>
    <r>
      <rPr>
        <sz val="9"/>
        <color rgb="FF000000"/>
        <rFont val="Calibri"/>
        <family val="2"/>
        <scheme val="minor"/>
      </rPr>
      <t xml:space="preserve"> Ministerio de Ambiente y Desarrollo Sostenible MADS, DGOAT-SINA y DAMCRA.</t>
    </r>
  </si>
  <si>
    <t>Es el porcentaje de avance en la ejecución, por parte de la corporación autónoma regional, de las acciones relacionadas con el manejo integrado de zonas costeras en el marco del Plan de Acción.</t>
  </si>
  <si>
    <t>El indicador mide el cumplimiento de las metas que la autoridad ambiental se ha propuesto alcanzar en relación con el manejo integrado de zonas costeras, en el marco del Plan de Acción de la Corporación. De esta manera, contribuye a la implementación regional de la Política nacional ambiental para el desarrollo sostenible de los espacios oceánicos y las zonas costeras e insulares de Colombia.</t>
  </si>
  <si>
    <t>Ley 99 de 1993, Ley Marco de Medio Ambiente.</t>
  </si>
  <si>
    <t>Ley 1450 de 2011 (artículos 207 y 208) (vigentes).</t>
  </si>
  <si>
    <t>Decreto 1076 de 2015, Decreto Único Reglamentario.</t>
  </si>
  <si>
    <t>Resolución 1602 de 1995, manglares</t>
  </si>
  <si>
    <t>Resolución 20 de 1996, manglares</t>
  </si>
  <si>
    <t>Resolución 924 de 1997, manglares</t>
  </si>
  <si>
    <t>Política nacional ambiental para el desarrollo sostenible de los espacios oceánicos y las zonas costeras e insulares de Colombia – PNAOCI 2000</t>
  </si>
  <si>
    <t>La Política Nacional Ambiental para el Desarrollo Sostenible de los Espacios Oceánicos y las Zonas Costeras e Insulares de Colombia- PNAOCI-, , señala que el manejo integrado costero es un proceso de planificación especial dirigido hacia un área compleja y dinámica, que se enfoca en la interfase mar – tierra y que considera los siguientes aspectos: algunos conceptos fijos y otros flexibles que la demarcan, una ética de conservación de los ecosistemas, metas socioeconómicas, un estilo de manejo activo participativo y de solución de problemas, y una fuerte base científica.</t>
  </si>
  <si>
    <t>La mencionada política promueve el ordenamiento territorial para asignar usos sostenibles al territorio marítimo y costero nacional, la formas mejoradas de gobierno que armonicen y articulen la planificación del desarrollo costero sectorial, la conservación y restauración de los bienes y servicios que proveen sus ecosistemas, la generación de conocimiento que permita la obtención de información estratégica para la toma de decisiones de manejo integrado de esta áreas, y los procesos de autogestión comunitaria y de aprendizaje que permitan integrar a los múltiples usuarios de la zona costera en la gestión de su manejo sostenible.</t>
  </si>
  <si>
    <t>Las principales temáticas en el Manejo Integrado de Zonas Costeras en las que tienen competencia las Corporaciones Autónomas Regionales son:</t>
  </si>
  <si>
    <r>
      <t>1)</t>
    </r>
    <r>
      <rPr>
        <sz val="7"/>
        <color rgb="FF000000"/>
        <rFont val="Times New Roman"/>
        <family val="1"/>
      </rPr>
      <t xml:space="preserve">      </t>
    </r>
    <r>
      <rPr>
        <sz val="9"/>
        <color rgb="FF000000"/>
        <rFont val="Calibri"/>
        <family val="2"/>
        <scheme val="minor"/>
      </rPr>
      <t>Planificación y ordenamiento de la Unidad Ambiental Costera UAC</t>
    </r>
  </si>
  <si>
    <r>
      <t>a)</t>
    </r>
    <r>
      <rPr>
        <sz val="7"/>
        <color rgb="FF000000"/>
        <rFont val="Times New Roman"/>
        <family val="1"/>
      </rPr>
      <t xml:space="preserve">      </t>
    </r>
    <r>
      <rPr>
        <sz val="9"/>
        <color rgb="FF000000"/>
        <rFont val="Calibri"/>
        <family val="2"/>
        <scheme val="minor"/>
      </rPr>
      <t>Participación en la Formulación del POMIUAC en el marco de la Unidad Ambiental Costera correspondiente a su jurisdicción y en el Diagnóstico y Zonificación de los Manglares.</t>
    </r>
  </si>
  <si>
    <r>
      <t>2)</t>
    </r>
    <r>
      <rPr>
        <sz val="7"/>
        <color rgb="FF000000"/>
        <rFont val="Times New Roman"/>
        <family val="1"/>
      </rPr>
      <t xml:space="preserve">      </t>
    </r>
    <r>
      <rPr>
        <sz val="9"/>
        <color rgb="FF000000"/>
        <rFont val="Calibri"/>
        <family val="2"/>
        <scheme val="minor"/>
      </rPr>
      <t>Gestión ambiental en las zonas costeras de su jurisdicción</t>
    </r>
  </si>
  <si>
    <r>
      <t>a)</t>
    </r>
    <r>
      <rPr>
        <sz val="7"/>
        <color rgb="FF000000"/>
        <rFont val="Times New Roman"/>
        <family val="1"/>
      </rPr>
      <t xml:space="preserve">      </t>
    </r>
    <r>
      <rPr>
        <sz val="9"/>
        <color rgb="FF000000"/>
        <rFont val="Calibri"/>
        <family val="2"/>
        <scheme val="minor"/>
      </rPr>
      <t>Manejo de ecosistemas marinos y costeros.</t>
    </r>
  </si>
  <si>
    <r>
      <t>3)</t>
    </r>
    <r>
      <rPr>
        <sz val="7"/>
        <color rgb="FF000000"/>
        <rFont val="Times New Roman"/>
        <family val="1"/>
      </rPr>
      <t xml:space="preserve">      </t>
    </r>
    <r>
      <rPr>
        <sz val="9"/>
        <color rgb="FF000000"/>
        <rFont val="Calibri"/>
        <family val="2"/>
        <scheme val="minor"/>
      </rPr>
      <t>Articulación junto con los entes territoriales en el manejo integrado de zonas costeras.</t>
    </r>
  </si>
  <si>
    <r>
      <t>4)</t>
    </r>
    <r>
      <rPr>
        <sz val="7"/>
        <color rgb="FF000000"/>
        <rFont val="Times New Roman"/>
        <family val="1"/>
      </rPr>
      <t xml:space="preserve">      </t>
    </r>
    <r>
      <rPr>
        <sz val="9"/>
        <color rgb="FF000000"/>
        <rFont val="Calibri"/>
        <family val="2"/>
        <scheme val="minor"/>
      </rPr>
      <t>Educación y participación en manejo integrado de zonas costeras.</t>
    </r>
  </si>
  <si>
    <r>
      <t>5)</t>
    </r>
    <r>
      <rPr>
        <sz val="7"/>
        <color rgb="FF000000"/>
        <rFont val="Times New Roman"/>
        <family val="1"/>
      </rPr>
      <t xml:space="preserve">      </t>
    </r>
    <r>
      <rPr>
        <sz val="9"/>
        <color rgb="FF000000"/>
        <rFont val="Calibri"/>
        <family val="2"/>
        <scheme val="minor"/>
      </rPr>
      <t>Gestión de Información en manejo integrado de zonas costeras</t>
    </r>
  </si>
  <si>
    <r>
      <t>a)</t>
    </r>
    <r>
      <rPr>
        <sz val="7"/>
        <color rgb="FF000000"/>
        <rFont val="Times New Roman"/>
        <family val="1"/>
      </rPr>
      <t xml:space="preserve">      </t>
    </r>
    <r>
      <rPr>
        <sz val="9"/>
        <color rgb="FF000000"/>
        <rFont val="Calibri"/>
        <family val="2"/>
        <scheme val="minor"/>
      </rPr>
      <t>Monitoreo de la calidad ambiental en las zonas marinas y costeras</t>
    </r>
  </si>
  <si>
    <r>
      <t>b)</t>
    </r>
    <r>
      <rPr>
        <sz val="7"/>
        <color rgb="FF000000"/>
        <rFont val="Times New Roman"/>
        <family val="1"/>
      </rPr>
      <t xml:space="preserve">      </t>
    </r>
    <r>
      <rPr>
        <sz val="9"/>
        <color rgb="FF000000"/>
        <rFont val="Calibri"/>
        <family val="2"/>
        <scheme val="minor"/>
      </rPr>
      <t>Fortalecimiento de los sistemas de información regional ambiental en el ámbito marino-costero</t>
    </r>
  </si>
  <si>
    <r>
      <t>c)</t>
    </r>
    <r>
      <rPr>
        <sz val="7"/>
        <color rgb="FF000000"/>
        <rFont val="Times New Roman"/>
        <family val="1"/>
      </rPr>
      <t xml:space="preserve">       </t>
    </r>
    <r>
      <rPr>
        <sz val="9"/>
        <color rgb="FF000000"/>
        <rFont val="Calibri"/>
        <family val="2"/>
        <scheme val="minor"/>
      </rPr>
      <t>Monitoreo de ecosistemas y recursos acuáticos marinos y costeros</t>
    </r>
  </si>
  <si>
    <t>Cabe señalar que las acciones a ser realizadas por las Corporaciones deben corresponder a las competencias otorgadas por la normatividad y en el marco de sus funciones misionales.</t>
  </si>
  <si>
    <t>Porcentaje de ejecución de acciones relacionadas con el manejo integrado de zonas costeras</t>
  </si>
  <si>
    <t>Es el promedio ponderado de la ejecución de acciones relacionadas con el manejo integrado de las zonas costeras.</t>
  </si>
  <si>
    <r>
      <t xml:space="preserve">ETAMIZC </t>
    </r>
    <r>
      <rPr>
        <vertAlign val="subscript"/>
        <sz val="9"/>
        <color rgb="FF000000"/>
        <rFont val="Calibri"/>
        <family val="2"/>
        <scheme val="minor"/>
      </rPr>
      <t>t</t>
    </r>
    <r>
      <rPr>
        <sz val="9"/>
        <color rgb="FF000000"/>
        <rFont val="Calibri"/>
        <family val="2"/>
        <scheme val="minor"/>
      </rPr>
      <t xml:space="preserve"> = Porcentaje de ejecución total de acciones en manejo integrado de zonas costeras, en el tiempo t.</t>
    </r>
  </si>
  <si>
    <r>
      <t xml:space="preserve">EAMIZC </t>
    </r>
    <r>
      <rPr>
        <vertAlign val="subscript"/>
        <sz val="9"/>
        <color rgb="FF000000"/>
        <rFont val="Calibri"/>
        <family val="2"/>
        <scheme val="minor"/>
      </rPr>
      <t>It</t>
    </r>
    <r>
      <rPr>
        <sz val="9"/>
        <color rgb="FF000000"/>
        <rFont val="Calibri"/>
        <family val="2"/>
        <scheme val="minor"/>
      </rPr>
      <t xml:space="preserve"> = Porcentaje de ejecución de la acción </t>
    </r>
    <r>
      <rPr>
        <i/>
        <sz val="9"/>
        <color rgb="FF000000"/>
        <rFont val="Calibri"/>
        <family val="2"/>
        <scheme val="minor"/>
      </rPr>
      <t>i</t>
    </r>
    <r>
      <rPr>
        <sz val="9"/>
        <color rgb="FF000000"/>
        <rFont val="Calibri"/>
        <family val="2"/>
        <scheme val="minor"/>
      </rPr>
      <t xml:space="preserve"> relacionada con el manejo integrado de zonas costeras, en el tiempo t.</t>
    </r>
  </si>
  <si>
    <r>
      <t xml:space="preserve"> a </t>
    </r>
    <r>
      <rPr>
        <vertAlign val="subscript"/>
        <sz val="9"/>
        <color rgb="FF000000"/>
        <rFont val="Calibri"/>
        <family val="2"/>
        <scheme val="minor"/>
      </rPr>
      <t>i</t>
    </r>
    <r>
      <rPr>
        <sz val="9"/>
        <color rgb="FF000000"/>
        <rFont val="Calibri"/>
        <family val="2"/>
        <scheme val="minor"/>
      </rPr>
      <t xml:space="preserve"> = ponderador de la acción i de manejo integrado de zonas costeras</t>
    </r>
  </si>
  <si>
    <r>
      <t xml:space="preserve">Σ a </t>
    </r>
    <r>
      <rPr>
        <vertAlign val="subscript"/>
        <sz val="9"/>
        <color rgb="FF000000"/>
        <rFont val="Calibri"/>
        <family val="2"/>
        <scheme val="minor"/>
      </rPr>
      <t>i</t>
    </r>
    <r>
      <rPr>
        <sz val="9"/>
        <color rgb="FF000000"/>
        <rFont val="Calibri"/>
        <family val="2"/>
        <scheme val="minor"/>
      </rPr>
      <t xml:space="preserve"> = 1.</t>
    </r>
  </si>
  <si>
    <r>
      <t>Nota:</t>
    </r>
    <r>
      <rPr>
        <sz val="9"/>
        <color rgb="FF000000"/>
        <rFont val="Calibri"/>
        <family val="2"/>
        <scheme val="minor"/>
      </rPr>
      <t xml:space="preserve"> los ponderadores de las acciones serán definidos por las CAR teniendo en cuenta el peso asignado para cada una de ellas.</t>
    </r>
  </si>
  <si>
    <t>Número total de Planes de Gestión Integral de Residuos Sólidos (PGIRS) de la jurisdicción de la Corporación:</t>
  </si>
  <si>
    <t>Número total de Planes de Gestión Integral de Residuos Sólidos (PGIRS) priorizados por la Corporación para hacer seguimiento, exclusivamente en lo relacionado con las metas de aprovechamiento, en el cuatrienio:</t>
  </si>
  <si>
    <t>Meta de Planes de Gestión Integral de Residuos Sólidos (PGIRS) con seguimiento a las metas de aprovechamiento MPGIRSCS</t>
  </si>
  <si>
    <t>Número de Planes de Gestión Integral de Residuos Sólidos con seguimiento a las metas de aprovechamiento (PPGIRSCS)</t>
  </si>
  <si>
    <t>Porcentaje de Planes de Gestión Integral de Residuos Sólidos con seguimiento exclusivamente en lo relacionado con las metas de aprovechamiento (PPGIRSCS)</t>
  </si>
  <si>
    <t>Cuanto más cercano a cien por ciento, mayor es el cumplimiento de las metas que la autoridad ambiental se ha propuesto alcanzar en relación con el seguimiento a los Planes de Gestión Integral de Residuos Sólidos (PGIRS)</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</si>
  <si>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Planes de Gestión Integral de Residuos Sólidos (PGIRS) con seguimiento (Versión 1.0).</t>
    </r>
    <r>
      <rPr>
        <sz val="9"/>
        <color rgb="FF000000"/>
        <rFont val="Calibri"/>
        <family val="2"/>
        <scheme val="minor"/>
      </rPr>
      <t xml:space="preserve"> Ministerio de Ambiente y Desarrollo Sostenible, DGOAT-SINA y DAASU.</t>
    </r>
  </si>
  <si>
    <t>Es la relación entre el número de Planes de Gestión Integral de Residuos Sólidos (PGIRS) con seguimiento con respecto a la meta de seguimiento de dichos planes por parte de la autoridad ambiental, exclusivamente en lo relacionado con las metas de aprovechamiento.</t>
  </si>
  <si>
    <t>El indicador mide el cumplimiento de las metas que la autoridad ambiental se ha propuesto alcanzar en relación con el seguimiento a los Planes de Gestión Integral de Residuos Sólidos (PGIRS), exclusivamente en lo relacionado con las metas de aprovechamiento.</t>
  </si>
  <si>
    <t>Decreto 1076 de 2015, Decreto Único Reglamentario Sector Ambiente, Articulo 2.2.6.1.1.1 al 2.2.7.3.1.7.</t>
  </si>
  <si>
    <t>Decreto 1077 de 2015. Artículo 2.3.2.2.3.90. Programa de aprovechamiento.</t>
  </si>
  <si>
    <t>Resolución 754 de 2014</t>
  </si>
  <si>
    <t>Metodología para la formulación, implementación, evaluación, seguimiento, control y actualización de los Planes de Gestión Integral de Residuos Sólidos (PGIRS)</t>
  </si>
  <si>
    <t>El Decreto 1077 de 2015 define el Plan de Gestión Integral de Residuos Sólidos como el “instrumento de planeación municipal o regional que contiene un conjunto ordenado de objetivos, metas, programas, proyectos, actividades y recursos definidos por uno o más entes territoriales para el manejo de los residuos sólidos, basado en la política de gestión integral de los mismos, el cual se ejecutará durante un período determinado, basándose en un diagnóstico inicial, en su proyección hacia el futuro y en un plan financiero viable que permita garantizar el mejoramiento continuo del manejo de residuos y la prestación del servicio de aseo a nivel municipal o regional, evaluado a través de la medición de resultados. Corresponde a la entidad territorial la formulación, implementación, evaluación, seguimiento y control y actualización del PGIRS”.</t>
  </si>
  <si>
    <t>El parágrafo del artículo 2.3.2.2.3.90 del mencionado decreto determina que “a las autoridades ambientales competentes, les corresponde realizar el control y seguimiento de la ejecución del PGIRS, exclusivamente en lo relacionado con las metas de aprovechamiento y las autorizaciones ambientales que requiera el prestador del servicio de aseo, de conformidad con la normatividad ambiental vigente”.</t>
  </si>
  <si>
    <t>Por su parte, la Resolución 754 de 2014 adopta la metodología para la formulación, implementación, evaluación, seguimiento, control y actualización de los Planes de Gestión Integral de Residuos Sólidos (PGIRS).</t>
  </si>
  <si>
    <r>
      <t xml:space="preserve">PPGIRSCS </t>
    </r>
    <r>
      <rPr>
        <vertAlign val="subscript"/>
        <sz val="9"/>
        <color rgb="FF000000"/>
        <rFont val="Calibri"/>
        <family val="2"/>
        <scheme val="minor"/>
      </rPr>
      <t>t</t>
    </r>
    <r>
      <rPr>
        <sz val="9"/>
        <color rgb="FF000000"/>
        <rFont val="Calibri"/>
        <family val="2"/>
        <scheme val="minor"/>
      </rPr>
      <t xml:space="preserve"> = Porcentaje de Planes de Gestión Integral de Residuos Sólidos (PGIRS) con seguimiento, exclusivamente en lo relacionado con las metas de aprovechamiento en el tiempo t.</t>
    </r>
  </si>
  <si>
    <r>
      <t xml:space="preserve">PGIRSCS </t>
    </r>
    <r>
      <rPr>
        <vertAlign val="subscript"/>
        <sz val="9"/>
        <color rgb="FF000000"/>
        <rFont val="Calibri"/>
        <family val="2"/>
        <scheme val="minor"/>
      </rPr>
      <t>t</t>
    </r>
    <r>
      <rPr>
        <sz val="9"/>
        <color rgb="FF000000"/>
        <rFont val="Calibri"/>
        <family val="2"/>
        <scheme val="minor"/>
      </rPr>
      <t xml:space="preserve"> = Número de Planes de Gestión Integral de Residuos Sólidos con seguimiento a las metas de aprovechamiento, en el tiempo t.</t>
    </r>
  </si>
  <si>
    <r>
      <t xml:space="preserve">MPGIRSCS </t>
    </r>
    <r>
      <rPr>
        <vertAlign val="subscript"/>
        <sz val="9"/>
        <color rgb="FF000000"/>
        <rFont val="Calibri"/>
        <family val="2"/>
        <scheme val="minor"/>
      </rPr>
      <t>t</t>
    </r>
    <r>
      <rPr>
        <sz val="9"/>
        <color rgb="FF000000"/>
        <rFont val="Calibri"/>
        <family val="2"/>
        <scheme val="minor"/>
      </rPr>
      <t xml:space="preserve"> = Meta de Planes de Gestión Integral de Residuos Sólidos con seguimiento a las metas de aprovechamiento, en el tiempo t.</t>
    </r>
  </si>
  <si>
    <t>La meta de número de Planes de Gestión Integral de Residuos Sólidos sujetos a seguimiento es establecida en el Plan de Acción de la Corporación. (Exclusivamente en lo relacionado con las metas de aprovechamiento)</t>
  </si>
  <si>
    <t>Número de sectores priorizados para acompañamiento en la reconversión hacia sistemas sostenibles de producción (SPA)</t>
  </si>
  <si>
    <t>Sectores acompañados en la reconversión hacia sistemas sostenibles de producción (SA)</t>
  </si>
  <si>
    <t>Porcentaje de sectores con acompañamiento para la reconversión hacia sistemas sostenibles de producción (PSA = SA / SPA)</t>
  </si>
  <si>
    <t>Indicador Complementario:</t>
  </si>
  <si>
    <t>Ejecución presupuestal de acciones relacionadas con el acompañamiento para la reconversión hacia sistemas sostenibles de producción</t>
  </si>
  <si>
    <t>Sector(es)</t>
  </si>
  <si>
    <t>Ejecución Presupuestal (%)</t>
  </si>
  <si>
    <t>Ppto. Definitivo</t>
  </si>
  <si>
    <t>inicial</t>
  </si>
  <si>
    <t>Cálculo de la ejecución física y presupuestal de acciones relacionadas con el acompañamiento para la reconversión hacia sistemas sostenibles de producción</t>
  </si>
  <si>
    <t>Ponderador</t>
  </si>
  <si>
    <t>Ejecución Presupuestal</t>
  </si>
  <si>
    <t>Compromisos / Ppto. Definitivo</t>
  </si>
  <si>
    <t>Pagos /</t>
  </si>
  <si>
    <t>Cuanto más cercano a cien por ciento, mayor es el cumplimiento de las metas establecidas en relación con los sectores priorizados por la Corporación para hacerles acompañamiento en la reconversión hacia sistemas sostenibles de producción.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</si>
  <si>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sectores con acompañamiento para la reconversión hacia sistemas sostenibles de producción (Versión 1.0).</t>
    </r>
    <r>
      <rPr>
        <sz val="9"/>
        <color rgb="FF000000"/>
        <rFont val="Calibri"/>
        <family val="2"/>
        <scheme val="minor"/>
      </rPr>
      <t xml:space="preserve"> Ministerio de Ambiente y Desarrollo Sostenible MADS, DGOAT-SINA y DAASU.</t>
    </r>
  </si>
  <si>
    <t>Es la relación entre el número de sectores acompañados por la Corporación Autónoma Regional en la reconversión hacia sistemas sostenibles de producción, y la meta de sectores priorizados por la autoridad ambiental para dicho acompañamiento.</t>
  </si>
  <si>
    <t>El indicador mide el cumplimiento de las metas establecidas en relación con los sectores priorizados por la Corporación para hacerles acompañamiento en la reconversión hacia sistemas sostenibles de producción. De esta manera, contribuye a la implementación de la Política de Producción y Consumo Sostenible y de la Estrategia de Crecimiento Verde del Plan Nacional de Desarrollo 2014-2018.</t>
  </si>
  <si>
    <t>Decreto 1076 de 2016.</t>
  </si>
  <si>
    <t>Ley 1753 de 2015, Plan Nacional de Desarrollo.</t>
  </si>
  <si>
    <t>Política de Producción y Consumo Sostenible (PPyCS)</t>
  </si>
  <si>
    <t>Plan Nacional de Desarrollo PND 2015-2018</t>
  </si>
  <si>
    <r>
      <t xml:space="preserve">El Ministerio de Ambiente formuló en 2010 la </t>
    </r>
    <r>
      <rPr>
        <b/>
        <sz val="9"/>
        <color rgb="FF000000"/>
        <rFont val="Calibri"/>
        <family val="2"/>
        <scheme val="minor"/>
      </rPr>
      <t>Política Nacional de Producción y Consumo Sostenible (PPyCS)</t>
    </r>
    <r>
      <rPr>
        <sz val="9"/>
        <color rgb="FF000000"/>
        <rFont val="Calibri"/>
        <family val="2"/>
        <scheme val="minor"/>
      </rPr>
      <t>, con el propósito de orientar el cambio de los patrones de producción y consumo de la economía colombiana hacia la sostenibilidad ambiental y consecuente con ello, contribuir al mejoramiento de la competitividad empresarial.</t>
    </r>
  </si>
  <si>
    <t>Los sectores prioritarios de la PPyCS son:</t>
  </si>
  <si>
    <r>
      <t xml:space="preserve">Sector </t>
    </r>
    <r>
      <rPr>
        <b/>
        <sz val="9"/>
        <color rgb="FF000000"/>
        <rFont val="Calibri"/>
        <family val="2"/>
        <scheme val="minor"/>
      </rPr>
      <t xml:space="preserve">público </t>
    </r>
    <r>
      <rPr>
        <sz val="9"/>
        <color rgb="FF000000"/>
        <rFont val="Calibri"/>
        <family val="2"/>
        <scheme val="minor"/>
      </rPr>
      <t>(obras de infraestructura, vivienda social, tecnologías, transporte público, generación de energía). (i) Con perspectivas de incidir en avances de sostenibilidad de obras y proyectos de gran impacto; (ii) Con potencial de que sea considerado como ejemplo en las prácticas de producción y consumo sostenible.</t>
    </r>
  </si>
  <si>
    <r>
      <t xml:space="preserve">Sector de la </t>
    </r>
    <r>
      <rPr>
        <b/>
        <sz val="9"/>
        <color rgb="FF000000"/>
        <rFont val="Calibri"/>
        <family val="2"/>
        <scheme val="minor"/>
      </rPr>
      <t>construcción</t>
    </r>
    <r>
      <rPr>
        <sz val="9"/>
        <color rgb="FF000000"/>
        <rFont val="Calibri"/>
        <family val="2"/>
        <scheme val="minor"/>
      </rPr>
      <t>. (i) Con perspectivas de incidir a través de su diseño, en el consumo de energía y agua y en el manejo de residuos en el sector doméstico. (ii) Gran escala y crecimiento. (iii) Con perspectivas de utilizar materiales sostenibles y estimular a los proveedores hacia procesos de producción más sostenibles.</t>
    </r>
  </si>
  <si>
    <r>
      <t xml:space="preserve">Sector </t>
    </r>
    <r>
      <rPr>
        <b/>
        <sz val="9"/>
        <color rgb="FF000000"/>
        <rFont val="Calibri"/>
        <family val="2"/>
        <scheme val="minor"/>
      </rPr>
      <t>manufacturero</t>
    </r>
    <r>
      <rPr>
        <sz val="9"/>
        <color rgb="FF000000"/>
        <rFont val="Calibri"/>
        <family val="2"/>
        <scheme val="minor"/>
      </rPr>
      <t xml:space="preserve"> (envases y empaques, alimentos, productos químicos, metalurgia). (i)Con perspectivas de optimizar en sus procesos productivos el uso eficiente de energía, agua y materias primas. (ii) Con potencial para la reducción y el aprovechamiento de los residuos. (iii) Con potencial de reducir su huella de carbono.</t>
    </r>
  </si>
  <si>
    <r>
      <t xml:space="preserve">Sector </t>
    </r>
    <r>
      <rPr>
        <b/>
        <sz val="9"/>
        <color rgb="FF000000"/>
        <rFont val="Calibri"/>
        <family val="2"/>
        <scheme val="minor"/>
      </rPr>
      <t>agroindustrial</t>
    </r>
    <r>
      <rPr>
        <sz val="9"/>
        <color rgb="FF000000"/>
        <rFont val="Calibri"/>
        <family val="2"/>
        <scheme val="minor"/>
      </rPr>
      <t xml:space="preserve"> (azúcar, flores, banano, biocombustibles). (i) Con alto potencial de exportación. (ii) Sector en crecimiento, especialmente en relación con los biocombustibles. (iii) Sector intensivo en el uso de recursos y con alto potencial de optimización.</t>
    </r>
  </si>
  <si>
    <r>
      <t xml:space="preserve">Sector </t>
    </r>
    <r>
      <rPr>
        <b/>
        <sz val="9"/>
        <color rgb="FF000000"/>
        <rFont val="Calibri"/>
        <family val="2"/>
        <scheme val="minor"/>
      </rPr>
      <t>turismo</t>
    </r>
    <r>
      <rPr>
        <sz val="9"/>
        <color rgb="FF000000"/>
        <rFont val="Calibri"/>
        <family val="2"/>
        <scheme val="minor"/>
      </rPr>
      <t>. (i) Sector estratégico dentro las políticas de competitividad nacional. (ii) Con potencial para hacer uso eficiente de energía y agua y manejo adecuado de residuos. (iii) Con potencial para ser ejemplo por el uso racional de los recursos.</t>
    </r>
  </si>
  <si>
    <r>
      <t xml:space="preserve">Sector de </t>
    </r>
    <r>
      <rPr>
        <b/>
        <sz val="9"/>
        <color rgb="FF000000"/>
        <rFont val="Calibri"/>
        <family val="2"/>
        <scheme val="minor"/>
      </rPr>
      <t>alimentos ecológicos</t>
    </r>
    <r>
      <rPr>
        <sz val="9"/>
        <color rgb="FF000000"/>
        <rFont val="Calibri"/>
        <family val="2"/>
        <scheme val="minor"/>
      </rPr>
      <t>. (i) Con potencial de crecimiento hacia la exportación. (ii) Con potencial de ser considerado como ejemplo para prácticas de producción y consumo sostenible. Sector de productos y servicios provenientes de la biodiversidad. (i) Con potencial de crecimiento hacia la exportación. (ii) Con potencial de ser considerado como ejemplo para prácticas de producción, consumo y aprovechamiento sostenible. Pymes proveedoras de grandes empresas. (i) Con potencial de difusión de prácticas entre grupos de empresas. (ii) Con potencial de generación y conservación de empleo (iii) Con potencial para implementar prácticas de producción y consumo sostenible.</t>
    </r>
  </si>
  <si>
    <r>
      <t xml:space="preserve">Por su parte, el Plan Nacional de Desarrollo 2014-2018 incluyó la </t>
    </r>
    <r>
      <rPr>
        <b/>
        <sz val="9"/>
        <color rgb="FF000000"/>
        <rFont val="Calibri"/>
        <family val="2"/>
        <scheme val="minor"/>
      </rPr>
      <t>Estrategia Transversal y Envolvente de Crecimiento Verde</t>
    </r>
    <r>
      <rPr>
        <sz val="9"/>
        <color rgb="FF000000"/>
        <rFont val="Calibri"/>
        <family val="2"/>
        <scheme val="minor"/>
      </rPr>
      <t xml:space="preserve"> con el fin de alcanzar una Colombia en paz y un desarrollo económico sostenible. El crecimiento verde propende por un desarrollo sostenible que garantice el bienestar económico y social de la población en el largo plazo, asegurando que la base de los recursos provea los bienes y servicios ecosistémicos que el país necesita y el ambiente natural sea capaz de recuperarse ante los impactos de las actividades productivas (DNP 2014)</t>
    </r>
  </si>
  <si>
    <t>La Estrategia Nacional de Crecimiento Verde cuenta con tres objetivos:</t>
  </si>
  <si>
    <r>
      <t>1.</t>
    </r>
    <r>
      <rPr>
        <sz val="7"/>
        <color rgb="FF000000"/>
        <rFont val="Times New Roman"/>
        <family val="1"/>
      </rPr>
      <t xml:space="preserve">       </t>
    </r>
    <r>
      <rPr>
        <sz val="9"/>
        <color rgb="FF000000"/>
        <rFont val="Calibri"/>
        <family val="2"/>
      </rPr>
      <t>Avanzar hacia un crecimiento sostenible y bajo en carbono</t>
    </r>
  </si>
  <si>
    <r>
      <t>2.</t>
    </r>
    <r>
      <rPr>
        <sz val="7"/>
        <color rgb="FF000000"/>
        <rFont val="Times New Roman"/>
        <family val="1"/>
      </rPr>
      <t xml:space="preserve">       </t>
    </r>
    <r>
      <rPr>
        <sz val="9"/>
        <color rgb="FF000000"/>
        <rFont val="Calibri"/>
        <family val="2"/>
      </rPr>
      <t>Proteger y asegurar el uso sostenible del capital natural y mejorar la calidad y gobernanza ambiental</t>
    </r>
  </si>
  <si>
    <r>
      <t>3.</t>
    </r>
    <r>
      <rPr>
        <sz val="7"/>
        <color rgb="FF000000"/>
        <rFont val="Times New Roman"/>
        <family val="1"/>
      </rPr>
      <t xml:space="preserve">       </t>
    </r>
    <r>
      <rPr>
        <sz val="9"/>
        <color rgb="FF000000"/>
        <rFont val="Calibri"/>
        <family val="2"/>
      </rPr>
      <t>lograr un crecimiento resiliente y reducir la vulnerabilidad frente a los riesgos de desastres y al cambio climático.</t>
    </r>
  </si>
  <si>
    <t>En particular, la Estrategia promueve la adopción de prácticas de generación de valor agregado por parte de todos los sectores productivos; así como la identificación y aprovechamiento de las oportunidades de aumento en la competitividad, productividad y eficiencia, que a su vez reduzcan las emisiones de GEI en los diferentes sectores de la economía nacional y promuevan la resiliencia a los efectos adversos del cambio climático.</t>
  </si>
  <si>
    <t>Ahora bien, el papel de las Corporaciones Autónomas Regionales en este campo es acompañar los sectores productivos hacia la reconversión a sistemas sostenibles de producción.</t>
  </si>
  <si>
    <t>Se entiende por acompañamiento a los sectores productivos contiene las siguientes acciones:</t>
  </si>
  <si>
    <r>
      <t>·</t>
    </r>
    <r>
      <rPr>
        <sz val="7"/>
        <color rgb="FF000000"/>
        <rFont val="Times New Roman"/>
        <family val="1"/>
      </rPr>
      <t xml:space="preserve">        </t>
    </r>
    <r>
      <rPr>
        <sz val="9"/>
        <color rgb="FF000000"/>
        <rFont val="Calibri"/>
        <family val="2"/>
      </rPr>
      <t>Reuniones de construcción de agendas conjuntas de trabajo y de actualización de los convenios sectoriales de producción más limpia firmados como espacios de concertación</t>
    </r>
  </si>
  <si>
    <r>
      <t>·</t>
    </r>
    <r>
      <rPr>
        <sz val="7"/>
        <color rgb="FF000000"/>
        <rFont val="Times New Roman"/>
        <family val="1"/>
      </rPr>
      <t xml:space="preserve">        </t>
    </r>
    <r>
      <rPr>
        <sz val="9"/>
        <color rgb="FF000000"/>
        <rFont val="Calibri"/>
        <family val="2"/>
      </rPr>
      <t>Informes de seguimiento al cumplimiento de las agendas sectoriales.</t>
    </r>
  </si>
  <si>
    <r>
      <t>·</t>
    </r>
    <r>
      <rPr>
        <sz val="7"/>
        <color rgb="FF000000"/>
        <rFont val="Times New Roman"/>
        <family val="1"/>
      </rPr>
      <t xml:space="preserve">        </t>
    </r>
    <r>
      <rPr>
        <sz val="9"/>
        <color rgb="FF000000"/>
        <rFont val="Calibri"/>
        <family val="2"/>
      </rPr>
      <t>Eventos de capacitación a los sectores sobre producción y consumo sostenible.</t>
    </r>
  </si>
  <si>
    <r>
      <t>·</t>
    </r>
    <r>
      <rPr>
        <sz val="7"/>
        <color rgb="FF000000"/>
        <rFont val="Times New Roman"/>
        <family val="1"/>
      </rPr>
      <t xml:space="preserve">        </t>
    </r>
    <r>
      <rPr>
        <sz val="9"/>
        <color rgb="FF000000"/>
        <rFont val="Calibri"/>
        <family val="2"/>
      </rPr>
      <t>Eventos de socialización de experiencias exitosas de sistemas productivos sostenibles.</t>
    </r>
  </si>
  <si>
    <t>Número de sectores con acompañamiento para la reconversión hacia sistemas sostenibles de producción</t>
  </si>
  <si>
    <r>
      <t>PSA</t>
    </r>
    <r>
      <rPr>
        <vertAlign val="subscript"/>
        <sz val="9"/>
        <color rgb="FF000000"/>
        <rFont val="Calibri"/>
        <family val="2"/>
        <scheme val="minor"/>
      </rPr>
      <t xml:space="preserve"> t</t>
    </r>
    <r>
      <rPr>
        <sz val="9"/>
        <color rgb="FF000000"/>
        <rFont val="Calibri"/>
        <family val="2"/>
        <scheme val="minor"/>
      </rPr>
      <t xml:space="preserve"> = Porcentaje de sectores con acompañamiento para la reconversión hacia sistemas sostenibles de producción (PSA)</t>
    </r>
  </si>
  <si>
    <r>
      <t xml:space="preserve">SA </t>
    </r>
    <r>
      <rPr>
        <vertAlign val="subscript"/>
        <sz val="9"/>
        <color rgb="FF000000"/>
        <rFont val="Calibri"/>
        <family val="2"/>
        <scheme val="minor"/>
      </rPr>
      <t>it</t>
    </r>
    <r>
      <rPr>
        <sz val="9"/>
        <color rgb="FF000000"/>
        <rFont val="Calibri"/>
        <family val="2"/>
        <scheme val="minor"/>
      </rPr>
      <t xml:space="preserve"> = Sectores acompañados en la reconversión hacia sistemas sostenibles de producción (SA)</t>
    </r>
  </si>
  <si>
    <r>
      <t xml:space="preserve">SPA </t>
    </r>
    <r>
      <rPr>
        <vertAlign val="subscript"/>
        <sz val="9"/>
        <color rgb="FF000000"/>
        <rFont val="Calibri"/>
        <family val="2"/>
        <scheme val="minor"/>
      </rPr>
      <t>it</t>
    </r>
    <r>
      <rPr>
        <sz val="9"/>
        <color rgb="FF000000"/>
        <rFont val="Calibri"/>
        <family val="2"/>
        <scheme val="minor"/>
      </rPr>
      <t xml:space="preserve"> = Número de sectores priorizados para acompañamiento en la reconversión hacia sistemas sostenibles de producción (SPA)</t>
    </r>
  </si>
  <si>
    <r>
      <t xml:space="preserve">EPAARSSP </t>
    </r>
    <r>
      <rPr>
        <vertAlign val="subscript"/>
        <sz val="9"/>
        <color rgb="FF000000"/>
        <rFont val="Calibri"/>
        <family val="2"/>
        <scheme val="minor"/>
      </rPr>
      <t>t</t>
    </r>
    <r>
      <rPr>
        <sz val="9"/>
        <color rgb="FF000000"/>
        <rFont val="Calibri"/>
        <family val="2"/>
        <scheme val="minor"/>
      </rPr>
      <t xml:space="preserve"> = Ejecución presupuestal de acciones relacionadas con el acompañamiento para la reconversión hacia sistemas sostenibles de producción, en el tiempo t</t>
    </r>
  </si>
  <si>
    <r>
      <t xml:space="preserve">CARSSP </t>
    </r>
    <r>
      <rPr>
        <vertAlign val="subscript"/>
        <sz val="9"/>
        <color rgb="FF000000"/>
        <rFont val="Calibri"/>
        <family val="2"/>
        <scheme val="minor"/>
      </rPr>
      <t>it</t>
    </r>
    <r>
      <rPr>
        <sz val="9"/>
        <color rgb="FF000000"/>
        <rFont val="Calibri"/>
        <family val="2"/>
        <scheme val="minor"/>
      </rPr>
      <t xml:space="preserve"> = Compromisos correspondientes a la acción i relacionada con el acompañamiento para la reconversión hacia sistemas sostenibles de producción, en el tiempo t.</t>
    </r>
  </si>
  <si>
    <r>
      <t xml:space="preserve">PDAARSSP </t>
    </r>
    <r>
      <rPr>
        <vertAlign val="subscript"/>
        <sz val="9"/>
        <color rgb="FF000000"/>
        <rFont val="Calibri"/>
        <family val="2"/>
        <scheme val="minor"/>
      </rPr>
      <t>it</t>
    </r>
    <r>
      <rPr>
        <sz val="9"/>
        <color rgb="FF000000"/>
        <rFont val="Calibri"/>
        <family val="2"/>
        <scheme val="minor"/>
      </rPr>
      <t xml:space="preserve"> = Presupuesto definitivo a la acción i relacionada con el acompañamiento para la reconversión hacia sistemas sostenibles de producción, en el tiempo t.</t>
    </r>
  </si>
  <si>
    <t>Porcentaje de ejecución de acciones relacionadas con la gestión ambiental urbana.</t>
  </si>
  <si>
    <t>Número de acciones relacionadas con gestión ambiental urbana</t>
  </si>
  <si>
    <t>Ejecución física de las acciones relacionadas con la gestión ambiental urbana</t>
  </si>
  <si>
    <t>Conocer e identificar la identificación de la base natural que soporta el territorio</t>
  </si>
  <si>
    <t>Planificación y ordenamiento ambiental en áreas urbanas</t>
  </si>
  <si>
    <t>Identificar, prevenir y mitigar amenazas y vulnerabilidades de origen natural, socio natural y antrópico</t>
  </si>
  <si>
    <t>Gestión ambiental del Espacio Público en áreas urbanas</t>
  </si>
  <si>
    <t>Conservar, preservar y recuperar elementos naturales del espacio público</t>
  </si>
  <si>
    <t xml:space="preserve">Prevención y Control de la Contaminación del Aire en áreas urbanas </t>
  </si>
  <si>
    <t>Implementar el programa de acreditación de laboratorios de medición de calidad del aire y ruido ambiental</t>
  </si>
  <si>
    <t>Gestión del Recurso Hídrico en áreas urbanas</t>
  </si>
  <si>
    <t>Operar el sistema de vigilancia de calidad del aire</t>
  </si>
  <si>
    <t>Gestión de Residuos sólidos en áreas urbanas</t>
  </si>
  <si>
    <t>Realizar el seguimiento de los Planes de saneamiento y manejo de vertimientos (PSMV)</t>
  </si>
  <si>
    <t>Índice de calidad ambiental urbana</t>
  </si>
  <si>
    <t>Gestión del recurso hídrico en áreas urbanas</t>
  </si>
  <si>
    <t>Ejecución presupuestal de acciones relacionadas con la gestión ambiental urbana (utilice tantas filas cuantas sean necesarias)</t>
  </si>
  <si>
    <t>Presupuesto inicial</t>
  </si>
  <si>
    <t>Compromisos / Ppto Def.</t>
  </si>
  <si>
    <t>Pagos / Compromisos</t>
  </si>
  <si>
    <t>Cuanto más cercano a cien por ciento, mayor es el cumplimiento de las metas que la autoridad ambiental se ha propuesto alcanzar en relación con la gestión ambiental urbana, en el marco del Plan de Acción de la Corporación.</t>
  </si>
  <si>
    <r>
      <t xml:space="preserve">Hoja Metodológica de referencia: MADS (2016). </t>
    </r>
    <r>
      <rPr>
        <i/>
        <sz val="9"/>
        <color rgb="FF000000"/>
        <rFont val="Calibri"/>
        <family val="2"/>
        <scheme val="minor"/>
      </rPr>
      <t>Hoja metodológica Ejecución de Acciones en Gestión Ambiental Urbana (Versión 1.0).</t>
    </r>
    <r>
      <rPr>
        <sz val="9"/>
        <color rgb="FF000000"/>
        <rFont val="Calibri"/>
        <family val="2"/>
        <scheme val="minor"/>
      </rPr>
      <t xml:space="preserve"> Ministerio de Ambiente y Desarrollo Sostenible MADS, DGOAT-SINA y DAASU.</t>
    </r>
  </si>
  <si>
    <t>Es el porcentaje de avance en la ejecución, por parte de la corporación autónoma regional, de las acciones relacionadas con la gestión ambiental urbana en el marco del Plan de Acción.</t>
  </si>
  <si>
    <t>El indicador mide el cumplimiento de las metas que la autoridad ambiental se ha propuesto alcanzar en relación con la gestión ambiental urbana, en el marco del Plan de Acción de la Corporación. De esta manera, contribuye a la ejecución, a nivel regional y local, de la Política de Gestión Ambiental Urbana (2008).</t>
  </si>
  <si>
    <t>Ley 1753 de 2015.</t>
  </si>
  <si>
    <t>Espacio público: Decreto 1077 de 2015.</t>
  </si>
  <si>
    <t>Estructura Ecológica Principal: Decreto 1077 de 2015.</t>
  </si>
  <si>
    <t>Política de Gestión Ambiental Urbana.</t>
  </si>
  <si>
    <t>Política para la Prevención y Control de la Contaminación del Aire.</t>
  </si>
  <si>
    <t>Política para la Gestión Integral de Residuos Sólidos.</t>
  </si>
  <si>
    <t>Política para la Gestión Integral de la Biodiversidad y sus servicios ecosistémicos.</t>
  </si>
  <si>
    <t>CONPES 3718 de 2012, Espacio público.</t>
  </si>
  <si>
    <t>CONPES 3819 de 2014</t>
  </si>
  <si>
    <t>Circular 8000-2-344415 de 2013, ICAU.</t>
  </si>
  <si>
    <t>La gestión ambiental urbana se refiere a la “gestión de los recursos naturales renovables y los problemas ambientales urbanos y sus efectos en la región o regiones vecinas. La gestión ambiental urbana es una acción conjunta entre el Estado y los actores sociales, que se articula con la gestión territorial, las políticas ambientales y las políticas o planes sectoriales que tienen relación o afectan el medio ambiente en el ámbito urbano regional. Esta gestión, demanda el uso selectivo y combinado de herramientas jurídicas, de planeación, técnicas, económicas, financieras y administrativas para lograr la protección y funcionamiento de los ecosistemas y el mejoramiento de la calidad de vida de la población, dentro de un marco de ciudad sostenible” (Política de Gestión Ambiental Urbana).</t>
  </si>
  <si>
    <t>La gestión ambiental urbana se centra en dos ejes principales:</t>
  </si>
  <si>
    <r>
      <t>1)</t>
    </r>
    <r>
      <rPr>
        <sz val="7"/>
        <color rgb="FF000000"/>
        <rFont val="Times New Roman"/>
        <family val="1"/>
      </rPr>
      <t xml:space="preserve">      </t>
    </r>
    <r>
      <rPr>
        <sz val="9"/>
        <color rgb="FF000000"/>
        <rFont val="Calibri"/>
        <family val="2"/>
        <scheme val="minor"/>
      </rPr>
      <t>La gestión ambiental de los componentes constitutivos del medio ambiente, comúnmente denominados recursos naturales renovables: agua (en cualquier estado), atmósfera (troposfera y estratosfera), suelo y subsuelo, biodiversidad (ecosistemas, especies, recursos genéticos), fuentes primarias de energía no agotable y paisaje.</t>
    </r>
  </si>
  <si>
    <r>
      <t>2)</t>
    </r>
    <r>
      <rPr>
        <sz val="7"/>
        <color rgb="FF000000"/>
        <rFont val="Times New Roman"/>
        <family val="1"/>
      </rPr>
      <t xml:space="preserve">      </t>
    </r>
    <r>
      <rPr>
        <sz val="9"/>
        <color rgb="FF000000"/>
        <rFont val="Calibri"/>
        <family val="2"/>
        <scheme val="minor"/>
      </rPr>
      <t>La gestión ambiental de los problemas ambientales, entendida como la gestión sobre los elementos o factores que interactúan e inciden sobre el ambiente en las áreas urbanas, entre los cuales se pueden mencionar: factores que ocasionan contaminación y deterioro de los recursos naturales renovables; factores que ocasionan pérdida o deterioro de la biodiversidad; factores que ocasionan pérdida o deterioro del espacio público y del paisaje; inadecuada gestión y disposición de residuos sólidos, líquidos y gaseosos; uso ineficiente de la energía y falta de uso de fuentes no convencionales de energía; riesgos de origen natural y antrópico; pasivos ambientales, patrones insostenibles de ocupación del territorio, patrones insostenibles de producción y consumo; baja o falta de conciencia y cultura ambiental de la población de las áreas urbanas; pérdida de valores socio - culturales de la población urbana, que puede llevar a la pérdida de su identidad cultural y en consecuencia de su sentido de pertenencia del entorno; e insuficiente respuesta institucional del SINA, en términos de escasos niveles de coordinación y baja capacidad técnica y operativa para atender la problemática urbana (PGAU)</t>
    </r>
  </si>
  <si>
    <t>Cabe aclarar que la gestión para el manejo de estos recursos, elementos y factores en las áreas urbanas involucra, de manera diferenciada, a las autoridades ambientales: (Corporaciones autónomas regionales y de desarrollo sostenible); Grandes Centros Urbanos a que se refiere el artículo 66 de la Ley 99 de 1993, a los establecimientos públicos de que trata del artículo 13 de la Ley 768 de 2003; el artículo 124 de la Ley 1617 de 2013; las áreas metropolitanas a que se refiere el literal J del artículo 7 de la Ley 1625 de 2013 y a los entes territoriales, dentro de su respectivo marco de competencias y jurisdicción.</t>
  </si>
  <si>
    <t>Dicha gestión se realiza en el marco de la Política de Gestión Ambiental Urbana. En tal sentido, las principales temáticas en gestión ambiental urbana en las que tienen competencia las Corporaciones Autónomas Regionales son:</t>
  </si>
  <si>
    <r>
      <t>1)</t>
    </r>
    <r>
      <rPr>
        <sz val="7"/>
        <color rgb="FF000000"/>
        <rFont val="Times New Roman"/>
        <family val="1"/>
      </rPr>
      <t xml:space="preserve">      </t>
    </r>
    <r>
      <rPr>
        <sz val="9"/>
        <color rgb="FF000000"/>
        <rFont val="Calibri"/>
        <family val="2"/>
        <scheme val="minor"/>
      </rPr>
      <t>Planificación y ordenamiento ambiental en áreas urbanas</t>
    </r>
  </si>
  <si>
    <r>
      <t>2)</t>
    </r>
    <r>
      <rPr>
        <sz val="7"/>
        <color rgb="FF000000"/>
        <rFont val="Times New Roman"/>
        <family val="1"/>
      </rPr>
      <t xml:space="preserve">      </t>
    </r>
    <r>
      <rPr>
        <sz val="9"/>
        <color rgb="FF000000"/>
        <rFont val="Calibri"/>
        <family val="2"/>
        <scheme val="minor"/>
      </rPr>
      <t>Gestión ambiental del Riesgo en áreas urbanas</t>
    </r>
  </si>
  <si>
    <r>
      <t>3)</t>
    </r>
    <r>
      <rPr>
        <sz val="7"/>
        <color rgb="FF000000"/>
        <rFont val="Times New Roman"/>
        <family val="1"/>
      </rPr>
      <t xml:space="preserve">      </t>
    </r>
    <r>
      <rPr>
        <sz val="9"/>
        <color rgb="FF000000"/>
        <rFont val="Calibri"/>
        <family val="2"/>
        <scheme val="minor"/>
      </rPr>
      <t>Gestión ambiental del Espacio Público en áreas urbanas</t>
    </r>
  </si>
  <si>
    <r>
      <t>4)</t>
    </r>
    <r>
      <rPr>
        <sz val="7"/>
        <color rgb="FF000000"/>
        <rFont val="Times New Roman"/>
        <family val="1"/>
      </rPr>
      <t xml:space="preserve">      </t>
    </r>
    <r>
      <rPr>
        <sz val="9"/>
        <color rgb="FF000000"/>
        <rFont val="Calibri"/>
        <family val="2"/>
        <scheme val="minor"/>
      </rPr>
      <t>Prevención y Control de la Contaminación del Aire en áreas urbanas (fenómeno de acumulación o concentración de contaminantes en el aire generado por diferentes tipos entre ellos contaminantes criterio, ruido y olores ofensivos)</t>
    </r>
  </si>
  <si>
    <r>
      <t>5)</t>
    </r>
    <r>
      <rPr>
        <sz val="7"/>
        <color rgb="FF000000"/>
        <rFont val="Times New Roman"/>
        <family val="1"/>
      </rPr>
      <t xml:space="preserve">      </t>
    </r>
    <r>
      <rPr>
        <sz val="9"/>
        <color rgb="FF000000"/>
        <rFont val="Calibri"/>
        <family val="2"/>
        <scheme val="minor"/>
      </rPr>
      <t>Gestión del Recurso Hídrico en áreas urbanas</t>
    </r>
  </si>
  <si>
    <r>
      <t>6)</t>
    </r>
    <r>
      <rPr>
        <sz val="7"/>
        <color rgb="FF000000"/>
        <rFont val="Times New Roman"/>
        <family val="1"/>
      </rPr>
      <t xml:space="preserve">      </t>
    </r>
    <r>
      <rPr>
        <sz val="9"/>
        <color rgb="FF000000"/>
        <rFont val="Calibri"/>
        <family val="2"/>
        <scheme val="minor"/>
      </rPr>
      <t>Gestión de Residuos sólidos en áreas urbanas</t>
    </r>
  </si>
  <si>
    <r>
      <t>7)</t>
    </r>
    <r>
      <rPr>
        <sz val="7"/>
        <color rgb="FF000000"/>
        <rFont val="Times New Roman"/>
        <family val="1"/>
      </rPr>
      <t xml:space="preserve">      </t>
    </r>
    <r>
      <rPr>
        <sz val="9"/>
        <color rgb="FF000000"/>
        <rFont val="Calibri"/>
        <family val="2"/>
        <scheme val="minor"/>
      </rPr>
      <t>Índice de calidad ambiental urbana</t>
    </r>
  </si>
  <si>
    <r>
      <t>8)</t>
    </r>
    <r>
      <rPr>
        <sz val="7"/>
        <color rgb="FF000000"/>
        <rFont val="Times New Roman"/>
        <family val="1"/>
      </rPr>
      <t xml:space="preserve">      </t>
    </r>
    <r>
      <rPr>
        <sz val="9"/>
        <color rgb="FF000000"/>
        <rFont val="Calibri"/>
        <family val="2"/>
        <scheme val="minor"/>
      </rPr>
      <t>Participación en gestión ambiental urbana</t>
    </r>
  </si>
  <si>
    <t>Las principales acciones relacionadas con la gestión ambiental urbana son las siguientes:</t>
  </si>
  <si>
    <r>
      <t>1)</t>
    </r>
    <r>
      <rPr>
        <sz val="7"/>
        <color rgb="FF000000"/>
        <rFont val="Times New Roman"/>
        <family val="1"/>
      </rPr>
      <t xml:space="preserve">      </t>
    </r>
    <r>
      <rPr>
        <sz val="9"/>
        <color rgb="FF000000"/>
        <rFont val="Calibri"/>
        <family val="2"/>
        <scheme val="minor"/>
      </rPr>
      <t>Planificación y ordenamiento ambiental en áreas urbanas, que incluye:</t>
    </r>
  </si>
  <si>
    <r>
      <t>a)</t>
    </r>
    <r>
      <rPr>
        <sz val="7"/>
        <color rgb="FF000000"/>
        <rFont val="Times New Roman"/>
        <family val="1"/>
      </rPr>
      <t xml:space="preserve">      </t>
    </r>
    <r>
      <rPr>
        <sz val="9"/>
        <color rgb="FF000000"/>
        <rFont val="Calibri"/>
        <family val="2"/>
        <scheme val="minor"/>
      </rPr>
      <t>Identificar y gestionar la estructura ecológica urbana</t>
    </r>
  </si>
  <si>
    <r>
      <t>b)</t>
    </r>
    <r>
      <rPr>
        <sz val="7"/>
        <color rgb="FF000000"/>
        <rFont val="Times New Roman"/>
        <family val="1"/>
      </rPr>
      <t xml:space="preserve">      </t>
    </r>
    <r>
      <rPr>
        <sz val="9"/>
        <color rgb="FF000000"/>
        <rFont val="Calibri"/>
        <family val="2"/>
        <scheme val="minor"/>
      </rPr>
      <t>Asesorar a los entes territoriales en la inclusión del componente ambiental urbano en los procesos de planificación y ordenamiento territorial, incluyendo el establecimiento de determinantes ambientales urbanos.</t>
    </r>
  </si>
  <si>
    <r>
      <t>c)</t>
    </r>
    <r>
      <rPr>
        <sz val="7"/>
        <color rgb="FF000000"/>
        <rFont val="Times New Roman"/>
        <family val="1"/>
      </rPr>
      <t xml:space="preserve">       </t>
    </r>
    <r>
      <rPr>
        <sz val="9"/>
        <color rgb="FF000000"/>
        <rFont val="Calibri"/>
        <family val="2"/>
        <scheme val="minor"/>
      </rPr>
      <t>Implementar estrategias de conservación y uso sostenible de los recursos naturales renovables que conforman la base natural.</t>
    </r>
  </si>
  <si>
    <r>
      <t>2)</t>
    </r>
    <r>
      <rPr>
        <sz val="7"/>
        <color rgb="FF000000"/>
        <rFont val="Times New Roman"/>
        <family val="1"/>
      </rPr>
      <t xml:space="preserve">      </t>
    </r>
    <r>
      <rPr>
        <sz val="9"/>
        <color rgb="FF000000"/>
        <rFont val="Calibri"/>
        <family val="2"/>
        <scheme val="minor"/>
      </rPr>
      <t>Gestión ambiental del Espacio Público en áreas urbanas, sin perjuicio de las competencias de las entidades territoriales.</t>
    </r>
  </si>
  <si>
    <r>
      <t>a)</t>
    </r>
    <r>
      <rPr>
        <sz val="7"/>
        <color rgb="FF000000"/>
        <rFont val="Times New Roman"/>
        <family val="1"/>
      </rPr>
      <t xml:space="preserve">      </t>
    </r>
    <r>
      <rPr>
        <sz val="9"/>
        <color rgb="FF000000"/>
        <rFont val="Calibri"/>
        <family val="2"/>
        <scheme val="minor"/>
      </rPr>
      <t>Conservar, manejar y restaurar elementos naturales del espacio público urbano.</t>
    </r>
  </si>
  <si>
    <r>
      <t>b)</t>
    </r>
    <r>
      <rPr>
        <sz val="7"/>
        <color rgb="FF000000"/>
        <rFont val="Times New Roman"/>
        <family val="1"/>
      </rPr>
      <t xml:space="preserve">      </t>
    </r>
    <r>
      <rPr>
        <sz val="9"/>
        <color rgb="FF000000"/>
        <rFont val="Calibri"/>
        <family val="2"/>
        <scheme val="minor"/>
      </rPr>
      <t>Prevenir y controlar la afectación ambiental en el espacio público.</t>
    </r>
  </si>
  <si>
    <r>
      <t>c)</t>
    </r>
    <r>
      <rPr>
        <sz val="7"/>
        <color rgb="FF000000"/>
        <rFont val="Times New Roman"/>
        <family val="1"/>
      </rPr>
      <t xml:space="preserve">       </t>
    </r>
    <r>
      <rPr>
        <sz val="9"/>
        <color rgb="FF000000"/>
        <rFont val="Calibri"/>
        <family val="2"/>
        <scheme val="minor"/>
      </rPr>
      <t>Promover, orientar y acompañar la gestión ambiental del espacio público por parte de las entidades territoriales.</t>
    </r>
  </si>
  <si>
    <r>
      <t>3)</t>
    </r>
    <r>
      <rPr>
        <sz val="7"/>
        <color rgb="FF000000"/>
        <rFont val="Times New Roman"/>
        <family val="1"/>
      </rPr>
      <t xml:space="preserve">      </t>
    </r>
    <r>
      <rPr>
        <sz val="9"/>
        <color rgb="FF000000"/>
        <rFont val="Calibri"/>
        <family val="2"/>
        <scheme val="minor"/>
      </rPr>
      <t>Prevención y Control de la Contaminación del Aire en áreas urbanas.</t>
    </r>
  </si>
  <si>
    <r>
      <t>a)</t>
    </r>
    <r>
      <rPr>
        <sz val="7"/>
        <color rgb="FF000000"/>
        <rFont val="Times New Roman"/>
        <family val="1"/>
      </rPr>
      <t xml:space="preserve">      </t>
    </r>
    <r>
      <rPr>
        <sz val="9"/>
        <color rgb="FF000000"/>
        <rFont val="Calibri"/>
        <family val="2"/>
        <scheme val="minor"/>
      </rPr>
      <t>Diseñar y ejecutar acciones integrales para la prevención y control de la contaminación del aire.</t>
    </r>
  </si>
  <si>
    <r>
      <t>b)</t>
    </r>
    <r>
      <rPr>
        <sz val="7"/>
        <color rgb="FF000000"/>
        <rFont val="Times New Roman"/>
        <family val="1"/>
      </rPr>
      <t xml:space="preserve">      </t>
    </r>
    <r>
      <rPr>
        <sz val="9"/>
        <color rgb="FF000000"/>
        <rFont val="Calibri"/>
        <family val="2"/>
        <scheme val="minor"/>
      </rPr>
      <t>Fortalecer la capacidad institucional para el control y seguimiento de la contaminación del aire.</t>
    </r>
  </si>
  <si>
    <r>
      <t>c)</t>
    </r>
    <r>
      <rPr>
        <sz val="7"/>
        <color rgb="FF000000"/>
        <rFont val="Times New Roman"/>
        <family val="1"/>
      </rPr>
      <t xml:space="preserve">       </t>
    </r>
    <r>
      <rPr>
        <sz val="9"/>
        <color rgb="FF000000"/>
        <rFont val="Calibri"/>
        <family val="2"/>
        <scheme val="minor"/>
      </rPr>
      <t>Establecer e implementar programas de reducción de la contaminación del aire, cuando se requiera.</t>
    </r>
  </si>
  <si>
    <r>
      <t>d)</t>
    </r>
    <r>
      <rPr>
        <sz val="7"/>
        <color rgb="FF000000"/>
        <rFont val="Times New Roman"/>
        <family val="1"/>
      </rPr>
      <t xml:space="preserve">      </t>
    </r>
    <r>
      <rPr>
        <sz val="9"/>
        <color rgb="FF000000"/>
        <rFont val="Calibri"/>
        <family val="2"/>
        <scheme val="minor"/>
      </rPr>
      <t>Fortalecer las mesas regionales de calidad del aire donde se establezca la articulación entre las diferentes entidades relacionadas con la prevención y el control de la contaminación del aire.</t>
    </r>
  </si>
  <si>
    <r>
      <t>e)</t>
    </r>
    <r>
      <rPr>
        <sz val="7"/>
        <color rgb="FF000000"/>
        <rFont val="Times New Roman"/>
        <family val="1"/>
      </rPr>
      <t xml:space="preserve">      </t>
    </r>
    <r>
      <rPr>
        <sz val="9"/>
        <color rgb="FF000000"/>
        <rFont val="Calibri"/>
        <family val="2"/>
        <scheme val="minor"/>
      </rPr>
      <t>Asesorar a los entes territoriales para el mejor cumplimiento de sus funciones de control y vigilancia de los fenómenos de contaminación del aire.</t>
    </r>
  </si>
  <si>
    <r>
      <t>4)</t>
    </r>
    <r>
      <rPr>
        <sz val="7"/>
        <color rgb="FF000000"/>
        <rFont val="Times New Roman"/>
        <family val="1"/>
      </rPr>
      <t xml:space="preserve">      </t>
    </r>
    <r>
      <rPr>
        <sz val="9"/>
        <color rgb="FF000000"/>
        <rFont val="Calibri"/>
        <family val="2"/>
        <scheme val="minor"/>
      </rPr>
      <t>Gestión del Recurso Hídrico en áreas urbanas.</t>
    </r>
  </si>
  <si>
    <r>
      <t>a)</t>
    </r>
    <r>
      <rPr>
        <sz val="7"/>
        <color rgb="FF000000"/>
        <rFont val="Times New Roman"/>
        <family val="1"/>
      </rPr>
      <t xml:space="preserve">      </t>
    </r>
    <r>
      <rPr>
        <sz val="9"/>
        <color rgb="FF000000"/>
        <rFont val="Calibri"/>
        <family val="2"/>
        <scheme val="minor"/>
      </rPr>
      <t>Promover el uso eficiente y ahorro de agua.</t>
    </r>
  </si>
  <si>
    <r>
      <t>5)</t>
    </r>
    <r>
      <rPr>
        <sz val="7"/>
        <color rgb="FF000000"/>
        <rFont val="Times New Roman"/>
        <family val="1"/>
      </rPr>
      <t xml:space="preserve">      </t>
    </r>
    <r>
      <rPr>
        <sz val="9"/>
        <color rgb="FF000000"/>
        <rFont val="Calibri"/>
        <family val="2"/>
        <scheme val="minor"/>
      </rPr>
      <t>Gestión de Residuos sólidos en áreas urbanas.</t>
    </r>
  </si>
  <si>
    <r>
      <t>a)</t>
    </r>
    <r>
      <rPr>
        <sz val="7"/>
        <color rgb="FF000000"/>
        <rFont val="Times New Roman"/>
        <family val="1"/>
      </rPr>
      <t xml:space="preserve">      </t>
    </r>
    <r>
      <rPr>
        <sz val="9"/>
        <color rgb="FF000000"/>
        <rFont val="Calibri"/>
        <family val="2"/>
        <scheme val="minor"/>
      </rPr>
      <t>Promover el aprovechamiento de residuos sólidos.</t>
    </r>
  </si>
  <si>
    <r>
      <t>6)</t>
    </r>
    <r>
      <rPr>
        <sz val="7"/>
        <color rgb="FF000000"/>
        <rFont val="Times New Roman"/>
        <family val="1"/>
      </rPr>
      <t xml:space="preserve">      </t>
    </r>
    <r>
      <rPr>
        <sz val="9"/>
        <color rgb="FF000000"/>
        <rFont val="Calibri"/>
        <family val="2"/>
        <scheme val="minor"/>
      </rPr>
      <t>Compilar y reportar la información relacionada con los indicadores que conformar el Índice de Calidad Ambiental Urbana (ICAU)</t>
    </r>
  </si>
  <si>
    <r>
      <t>7)</t>
    </r>
    <r>
      <rPr>
        <sz val="7"/>
        <color rgb="FF000000"/>
        <rFont val="Times New Roman"/>
        <family val="1"/>
      </rPr>
      <t xml:space="preserve">      </t>
    </r>
    <r>
      <rPr>
        <sz val="9"/>
        <color rgb="FF000000"/>
        <rFont val="Calibri"/>
        <family val="2"/>
        <scheme val="minor"/>
      </rPr>
      <t>Participación en gestión ambiental urbana</t>
    </r>
  </si>
  <si>
    <r>
      <t>a)</t>
    </r>
    <r>
      <rPr>
        <sz val="7"/>
        <color rgb="FF000000"/>
        <rFont val="Times New Roman"/>
        <family val="1"/>
      </rPr>
      <t xml:space="preserve">      </t>
    </r>
    <r>
      <rPr>
        <sz val="9"/>
        <color rgb="FF000000"/>
        <rFont val="Calibri"/>
        <family val="2"/>
        <scheme val="minor"/>
      </rPr>
      <t xml:space="preserve">Promover y fortalecer los espacios de participación social en gestión ambiental urbana </t>
    </r>
  </si>
  <si>
    <r>
      <t xml:space="preserve">ETAGAU </t>
    </r>
    <r>
      <rPr>
        <vertAlign val="subscript"/>
        <sz val="9"/>
        <color rgb="FF000000"/>
        <rFont val="Calibri"/>
        <family val="2"/>
        <scheme val="minor"/>
      </rPr>
      <t>t</t>
    </r>
    <r>
      <rPr>
        <sz val="9"/>
        <color rgb="FF000000"/>
        <rFont val="Calibri"/>
        <family val="2"/>
        <scheme val="minor"/>
      </rPr>
      <t xml:space="preserve"> = Porcentaje de ejecución total de acciones en gestión ambiental urbana, en el tiempo t.</t>
    </r>
  </si>
  <si>
    <r>
      <t xml:space="preserve">EAGAU </t>
    </r>
    <r>
      <rPr>
        <vertAlign val="subscript"/>
        <sz val="9"/>
        <color rgb="FF000000"/>
        <rFont val="Calibri"/>
        <family val="2"/>
        <scheme val="minor"/>
      </rPr>
      <t>t1t</t>
    </r>
    <r>
      <rPr>
        <sz val="9"/>
        <color rgb="FF000000"/>
        <rFont val="Calibri"/>
        <family val="2"/>
        <scheme val="minor"/>
      </rPr>
      <t xml:space="preserve"> = Porcentaje de ejecución de la acción </t>
    </r>
    <r>
      <rPr>
        <i/>
        <sz val="9"/>
        <color rgb="FF000000"/>
        <rFont val="Calibri"/>
        <family val="2"/>
        <scheme val="minor"/>
      </rPr>
      <t>1</t>
    </r>
    <r>
      <rPr>
        <sz val="9"/>
        <color rgb="FF000000"/>
        <rFont val="Calibri"/>
        <family val="2"/>
        <scheme val="minor"/>
      </rPr>
      <t xml:space="preserve"> relacionada con la gestión ambiental urbana, en el tiempo t.</t>
    </r>
  </si>
  <si>
    <r>
      <t xml:space="preserve">EAGAU </t>
    </r>
    <r>
      <rPr>
        <vertAlign val="subscript"/>
        <sz val="9"/>
        <color rgb="FF000000"/>
        <rFont val="Calibri"/>
        <family val="2"/>
        <scheme val="minor"/>
      </rPr>
      <t>2t</t>
    </r>
    <r>
      <rPr>
        <sz val="9"/>
        <color rgb="FF000000"/>
        <rFont val="Calibri"/>
        <family val="2"/>
        <scheme val="minor"/>
      </rPr>
      <t xml:space="preserve"> = Porcentaje de ejecución de la acción </t>
    </r>
    <r>
      <rPr>
        <i/>
        <sz val="9"/>
        <color rgb="FF000000"/>
        <rFont val="Calibri"/>
        <family val="2"/>
        <scheme val="minor"/>
      </rPr>
      <t>2</t>
    </r>
    <r>
      <rPr>
        <sz val="9"/>
        <color rgb="FF000000"/>
        <rFont val="Calibri"/>
        <family val="2"/>
        <scheme val="minor"/>
      </rPr>
      <t xml:space="preserve"> relacionada con la gestión ambiental urbana, en el tiempo t.</t>
    </r>
  </si>
  <si>
    <r>
      <t xml:space="preserve">EAGAU </t>
    </r>
    <r>
      <rPr>
        <vertAlign val="subscript"/>
        <sz val="9"/>
        <color rgb="FF000000"/>
        <rFont val="Calibri"/>
        <family val="2"/>
        <scheme val="minor"/>
      </rPr>
      <t>nt</t>
    </r>
    <r>
      <rPr>
        <sz val="9"/>
        <color rgb="FF000000"/>
        <rFont val="Calibri"/>
        <family val="2"/>
        <scheme val="minor"/>
      </rPr>
      <t xml:space="preserve"> = Porcentaje de ejecución de la acción </t>
    </r>
    <r>
      <rPr>
        <i/>
        <sz val="9"/>
        <color rgb="FF000000"/>
        <rFont val="Calibri"/>
        <family val="2"/>
        <scheme val="minor"/>
      </rPr>
      <t>n</t>
    </r>
    <r>
      <rPr>
        <sz val="9"/>
        <color rgb="FF000000"/>
        <rFont val="Calibri"/>
        <family val="2"/>
        <scheme val="minor"/>
      </rPr>
      <t xml:space="preserve"> relacionada con la gestión ambiental urbana, en el tiempo t.</t>
    </r>
  </si>
  <si>
    <r>
      <t>a = ponderador de EAGAU</t>
    </r>
    <r>
      <rPr>
        <vertAlign val="subscript"/>
        <sz val="9"/>
        <color rgb="FF000000"/>
        <rFont val="Calibri"/>
        <family val="2"/>
        <scheme val="minor"/>
      </rPr>
      <t>1</t>
    </r>
    <r>
      <rPr>
        <sz val="9"/>
        <color rgb="FF000000"/>
        <rFont val="Calibri"/>
        <family val="2"/>
        <scheme val="minor"/>
      </rPr>
      <t>.</t>
    </r>
  </si>
  <si>
    <r>
      <t>b = ponderador de EAGAU</t>
    </r>
    <r>
      <rPr>
        <vertAlign val="subscript"/>
        <sz val="9"/>
        <color rgb="FF000000"/>
        <rFont val="Calibri"/>
        <family val="2"/>
        <scheme val="minor"/>
      </rPr>
      <t>2</t>
    </r>
    <r>
      <rPr>
        <sz val="9"/>
        <color rgb="FF000000"/>
        <rFont val="Calibri"/>
        <family val="2"/>
        <scheme val="minor"/>
      </rPr>
      <t>.</t>
    </r>
  </si>
  <si>
    <r>
      <t>z = ponderador de EAGAU</t>
    </r>
    <r>
      <rPr>
        <vertAlign val="subscript"/>
        <sz val="9"/>
        <color rgb="FF000000"/>
        <rFont val="Calibri"/>
        <family val="2"/>
        <scheme val="minor"/>
      </rPr>
      <t>n</t>
    </r>
    <r>
      <rPr>
        <sz val="9"/>
        <color rgb="FF000000"/>
        <rFont val="Calibri"/>
        <family val="2"/>
        <scheme val="minor"/>
      </rPr>
      <t>.</t>
    </r>
  </si>
  <si>
    <t>a + b + c+…+z = 1.</t>
  </si>
  <si>
    <t>Ejecución presupuestal de acciones relacionadas con la gestión ambiental urbana.</t>
  </si>
  <si>
    <r>
      <t xml:space="preserve">EPAGAU </t>
    </r>
    <r>
      <rPr>
        <vertAlign val="subscript"/>
        <sz val="9"/>
        <color rgb="FF000000"/>
        <rFont val="Calibri"/>
        <family val="2"/>
        <scheme val="minor"/>
      </rPr>
      <t>t</t>
    </r>
    <r>
      <rPr>
        <sz val="9"/>
        <color rgb="FF000000"/>
        <rFont val="Calibri"/>
        <family val="2"/>
        <scheme val="minor"/>
      </rPr>
      <t xml:space="preserve"> = Ejecución presupuestal de acciones en gestión ambiental urbana, en el año t.</t>
    </r>
  </si>
  <si>
    <r>
      <t xml:space="preserve">CGAU </t>
    </r>
    <r>
      <rPr>
        <vertAlign val="subscript"/>
        <sz val="9"/>
        <color rgb="FF000000"/>
        <rFont val="Calibri"/>
        <family val="2"/>
        <scheme val="minor"/>
      </rPr>
      <t>it</t>
    </r>
    <r>
      <rPr>
        <sz val="9"/>
        <color rgb="FF000000"/>
        <rFont val="Calibri"/>
        <family val="2"/>
        <scheme val="minor"/>
      </rPr>
      <t xml:space="preserve"> = Compromisos correspondientes a la acción i en gestión ambiental urbana, en el año t.</t>
    </r>
  </si>
  <si>
    <r>
      <t xml:space="preserve">PDAGAU </t>
    </r>
    <r>
      <rPr>
        <vertAlign val="subscript"/>
        <sz val="9"/>
        <color rgb="FF000000"/>
        <rFont val="Calibri"/>
        <family val="2"/>
        <scheme val="minor"/>
      </rPr>
      <t>it</t>
    </r>
    <r>
      <rPr>
        <sz val="9"/>
        <color rgb="FF000000"/>
        <rFont val="Calibri"/>
        <family val="2"/>
        <scheme val="minor"/>
      </rPr>
      <t xml:space="preserve"> = Presupuesto definitivo a la acción i en gestión ambiental urbana, en el año t.</t>
    </r>
  </si>
  <si>
    <t>Número de acciones relacionadas con la implementación del Programa Regional de Negocios Verdes por la autoridad ambiental</t>
  </si>
  <si>
    <t>Presupuesto definitivo</t>
  </si>
  <si>
    <t>Ejecución física y financiera de acciones relacionadas con la implementación del Programa Regional de Negocios Verdes por la autoridad ambiental</t>
  </si>
  <si>
    <t>(*) Nombre de la acción, actividad o proyecto en el Plan de Acción de la Corporación</t>
  </si>
  <si>
    <t>Cálculo de la ejecución física y financiera de acciones relacionadas con la implementación del Programa Regional de Negocios Verdes por la autoridad ambiental</t>
  </si>
  <si>
    <t>Avance Físico</t>
  </si>
  <si>
    <t>Ejecución Anual</t>
  </si>
  <si>
    <t>*</t>
  </si>
  <si>
    <t>El indicador hace seguimiento a la contribución de las CAR a la ejecución del Plan Nacional de Negocios Verdes y el Plan Regional de Negocios Verdes. Cuanto más cercano a cien por ciento, mayor es el cumplimiento de las metas, a cargo de la Autoridad Ambiental, en el marco del Plan Nacional de Negocios Verdes y el Plan Regional de Negocios Verdes.</t>
  </si>
  <si>
    <r>
      <t>Hoja Metodológica de referencia:</t>
    </r>
    <r>
      <rPr>
        <sz val="9"/>
        <color rgb="FF000000"/>
        <rFont val="Calibri"/>
        <family val="2"/>
        <scheme val="minor"/>
      </rPr>
      <t xml:space="preserve"> MADS (2016). </t>
    </r>
    <r>
      <rPr>
        <i/>
        <sz val="9"/>
        <color rgb="FF000000"/>
        <rFont val="Calibri"/>
        <family val="2"/>
        <scheme val="minor"/>
      </rPr>
      <t>Hoja metodológica Implementación del programa regional de negocios verdes por la autoridad ambiental (Versión 1.0).</t>
    </r>
    <r>
      <rPr>
        <sz val="9"/>
        <color rgb="FF000000"/>
        <rFont val="Calibri"/>
        <family val="2"/>
        <scheme val="minor"/>
      </rPr>
      <t xml:space="preserve"> Ministerio de Ambiente y Desarrollo Sostenible MADS, DGOAT-SINA y ONV.</t>
    </r>
  </si>
  <si>
    <t>Es el porcentaje de avance en la implementación de las acciones a cargo de la Corporación en el marco del Programa Regional de Negocios Verdes</t>
  </si>
  <si>
    <t>El indicador mide el cumplimiento de las metas, a cargo de la Autoridad Ambiental, en el marco del Plan Nacional de Negocios Verdes y el Plan Regional de Negocios Verdes. De esta forma contribuye a la implementación del Plan Nacional de Negocios Verdes y de la Estrategia Crecimiento Verde del Plan Nacional de Desarrollo 2014-2018</t>
  </si>
  <si>
    <r>
      <t xml:space="preserve"> </t>
    </r>
    <r>
      <rPr>
        <b/>
        <sz val="9"/>
        <color rgb="FF000000"/>
        <rFont val="Calibri"/>
        <family val="2"/>
        <scheme val="minor"/>
      </rPr>
      <t>Normatividad de soporte:</t>
    </r>
  </si>
  <si>
    <t>Decreto 1076 de 2016, Decreto Único Reglamentario.</t>
  </si>
  <si>
    <t>Ley 1753 de 2015, Plan Nacional de Desarrollo PND 2014-2018.</t>
  </si>
  <si>
    <t>Política Nacional de Producción y Consumo Sostenible.</t>
  </si>
  <si>
    <t>Plan Nacional de Negocios Verdes PNNV.</t>
  </si>
  <si>
    <t>Política Nacional para la Gestión Integral de la Biodiversidad y sus Servicios Ecosistémicos.</t>
  </si>
  <si>
    <t>Declaración de Crecimiento Verde de la Organización para la Cooperación y el Desarrollo Económico OCDE.</t>
  </si>
  <si>
    <t>Estrategia de Crecimiento Verde del Plan Nacional de Desarrollo.</t>
  </si>
  <si>
    <t>Metodología para la Implementación de los PRNV, elaborada y publicada con la Agencia de Cooperación Alemana- GIZ, en coordinación con el MADS.</t>
  </si>
  <si>
    <t>Programas Regionales de Negocios Verdes PRNV para las Regiones: Caribe, Pacifico, Central, Amazonia, y Orinoquia.</t>
  </si>
  <si>
    <t>Programa Nacional de Biocomercio Sostenible</t>
  </si>
  <si>
    <t>Guía de Verificación y Evaluación de Criterios de Negocios Verdes.</t>
  </si>
  <si>
    <t>https://www.minambiente.gov.co/index.php/ambientes-y-desarrollos-sostenibles/negocios-verdes-y-sostenibles</t>
  </si>
  <si>
    <t>Los Negocios Verdes y Sostenibles comprenden las actividades económicas en las que se ofrecen bienes o servicios que generan impactos ambientales positivos y que, además, incorporan buenas prácticas ambientales, sociales y económicas, con enfoque de ciclo de vida, contribuyendo a la conservación del ambiente como capital natural que soporta el desarrollo del territorio (Oficina de Negocios Verdes Sostenibles ONVS, 2014)</t>
  </si>
  <si>
    <t>El Objetivo 2 de la Estrategia Crecimiento Verde, incorporada en el PND 2014-2018, busca proteger y asegurar el uso sostenible del capital natural y mejorar la calidad y gobernanza ambiental. Para ello la Estrategia tiene como fin mejorar la calidad ambiental a partir del fortalecimiento del desempeño ambiental de los sectores productivos, buscando mejorar su competitividad; en la cual se inscribe la Meta Nacional Estratégica No. 13: Cinco (5) Programas Regionales de Negocios Verdes implementados para el aumento de la competitividad, a cargo de las CAR y la ONVS.</t>
  </si>
  <si>
    <r>
      <t xml:space="preserve">La implementación de los </t>
    </r>
    <r>
      <rPr>
        <b/>
        <sz val="9"/>
        <color rgb="FF000000"/>
        <rFont val="Calibri"/>
        <family val="2"/>
        <scheme val="minor"/>
      </rPr>
      <t>Programas Regionales de Negocios Verdes</t>
    </r>
    <r>
      <rPr>
        <sz val="9"/>
        <color rgb="FF000000"/>
        <rFont val="Calibri"/>
        <family val="2"/>
        <scheme val="minor"/>
      </rPr>
      <t>- PRNV se evaluará de acuerdo a tres (3) criterios:</t>
    </r>
  </si>
  <si>
    <t>1) Formulación de Planes de acción para la ejecución del PRNV en la jurisdicción de cada Autoridad Ambiental</t>
  </si>
  <si>
    <t>2) Conformación de la Ventanilla/Nodo de Negocios Verdes o realización de alianzas o acuerdos con otras instituciones.</t>
  </si>
  <si>
    <t>3) Contar con mínimo dos pilotos de Negocios Verdes verificados bajo los criterios descritos en el Plan Nacional de Negocios Verdes y PRNV</t>
  </si>
  <si>
    <t>Las principales acciones relacionadas con la ejecución Implementación del Programa Regional de Negocios Verdes por la autoridad ambiental son:</t>
  </si>
  <si>
    <r>
      <t>1)</t>
    </r>
    <r>
      <rPr>
        <sz val="7"/>
        <color rgb="FF000000"/>
        <rFont val="Times New Roman"/>
        <family val="1"/>
      </rPr>
      <t xml:space="preserve">      </t>
    </r>
    <r>
      <rPr>
        <sz val="9"/>
        <color rgb="FF000000"/>
        <rFont val="Calibri"/>
        <family val="2"/>
      </rPr>
      <t>Formulación de los Planes de Acción para la ejecución del Programa Regional de Negocios Verdes</t>
    </r>
  </si>
  <si>
    <r>
      <t>a)</t>
    </r>
    <r>
      <rPr>
        <sz val="7"/>
        <color rgb="FF000000"/>
        <rFont val="Times New Roman"/>
        <family val="1"/>
      </rPr>
      <t xml:space="preserve">      </t>
    </r>
    <r>
      <rPr>
        <sz val="9"/>
        <color rgb="FF000000"/>
        <rFont val="Calibri"/>
        <family val="2"/>
      </rPr>
      <t>Talleres de construcción del plan de trabajo, de la Corporación en el marco de la etapa de planeación.</t>
    </r>
  </si>
  <si>
    <r>
      <t>b)</t>
    </r>
    <r>
      <rPr>
        <sz val="7"/>
        <color rgb="FF000000"/>
        <rFont val="Times New Roman"/>
        <family val="1"/>
      </rPr>
      <t xml:space="preserve">      </t>
    </r>
    <r>
      <rPr>
        <sz val="9"/>
        <color rgb="FF000000"/>
        <rFont val="Calibri"/>
        <family val="2"/>
      </rPr>
      <t>Capacitación en criterios de Negocios Verdes</t>
    </r>
  </si>
  <si>
    <r>
      <t>c)</t>
    </r>
    <r>
      <rPr>
        <sz val="7"/>
        <color rgb="FF000000"/>
        <rFont val="Times New Roman"/>
        <family val="1"/>
      </rPr>
      <t xml:space="preserve">       </t>
    </r>
    <r>
      <rPr>
        <sz val="9"/>
        <color rgb="FF000000"/>
        <rFont val="Calibri"/>
        <family val="2"/>
      </rPr>
      <t>Levantamiento Línea Base de Negocios Verdes en la región</t>
    </r>
  </si>
  <si>
    <r>
      <t>2)</t>
    </r>
    <r>
      <rPr>
        <sz val="7"/>
        <color rgb="FF000000"/>
        <rFont val="Times New Roman"/>
        <family val="1"/>
      </rPr>
      <t xml:space="preserve">      </t>
    </r>
    <r>
      <rPr>
        <sz val="9"/>
        <color rgb="FF000000"/>
        <rFont val="Calibri"/>
        <family val="2"/>
      </rPr>
      <t>Conformación de la ventanilla o nodo de negocios verdes o realización de alianzas o acuerdos con otras instituciones para la implementación en la AA</t>
    </r>
  </si>
  <si>
    <r>
      <t>a)</t>
    </r>
    <r>
      <rPr>
        <sz val="7"/>
        <color rgb="FF000000"/>
        <rFont val="Times New Roman"/>
        <family val="1"/>
      </rPr>
      <t xml:space="preserve">      </t>
    </r>
    <r>
      <rPr>
        <sz val="9"/>
        <color rgb="FF000000"/>
        <rFont val="Calibri"/>
        <family val="2"/>
      </rPr>
      <t>Protocolización de la creación de la ventanilla o nodo de negocios verdes en la A.A.</t>
    </r>
  </si>
  <si>
    <r>
      <t>b)</t>
    </r>
    <r>
      <rPr>
        <sz val="7"/>
        <color rgb="FF000000"/>
        <rFont val="Times New Roman"/>
        <family val="1"/>
      </rPr>
      <t xml:space="preserve">      </t>
    </r>
    <r>
      <rPr>
        <sz val="9"/>
        <color rgb="FF000000"/>
        <rFont val="Calibri"/>
        <family val="2"/>
      </rPr>
      <t>Suscripción de alianzas o acuerdos publico privadas para la ejecución del PRNV (*)</t>
    </r>
  </si>
  <si>
    <r>
      <t>3)</t>
    </r>
    <r>
      <rPr>
        <sz val="7"/>
        <color rgb="FF000000"/>
        <rFont val="Times New Roman"/>
        <family val="1"/>
      </rPr>
      <t xml:space="preserve">      </t>
    </r>
    <r>
      <rPr>
        <sz val="9"/>
        <color rgb="FF000000"/>
        <rFont val="Calibri"/>
        <family val="2"/>
      </rPr>
      <t>Identificación de la línea base de negocios verdes verificados bajo la herramienta de negocios verdes (Guía de Verificación y Evaluación de Criterios de Negocios Verdes).</t>
    </r>
  </si>
  <si>
    <r>
      <t>a)</t>
    </r>
    <r>
      <rPr>
        <sz val="7"/>
        <color rgb="FF000000"/>
        <rFont val="Times New Roman"/>
        <family val="1"/>
      </rPr>
      <t xml:space="preserve">      </t>
    </r>
    <r>
      <rPr>
        <sz val="9"/>
        <color rgb="FF000000"/>
        <rFont val="Calibri"/>
        <family val="2"/>
      </rPr>
      <t>Al menos dos (2) pilotos verificados por la autoridad ambiental</t>
    </r>
  </si>
  <si>
    <r>
      <t>b)</t>
    </r>
    <r>
      <rPr>
        <sz val="7"/>
        <color rgb="FF000000"/>
        <rFont val="Times New Roman"/>
        <family val="1"/>
      </rPr>
      <t xml:space="preserve">      </t>
    </r>
    <r>
      <rPr>
        <sz val="9"/>
        <color rgb="FF000000"/>
        <rFont val="Calibri"/>
        <family val="2"/>
      </rPr>
      <t>Acompañamiento en la implementación de los planes de mejora</t>
    </r>
  </si>
  <si>
    <r>
      <t>4)</t>
    </r>
    <r>
      <rPr>
        <sz val="7"/>
        <color rgb="FF000000"/>
        <rFont val="Times New Roman"/>
        <family val="1"/>
      </rPr>
      <t xml:space="preserve">      </t>
    </r>
    <r>
      <rPr>
        <sz val="9"/>
        <color rgb="FF000000"/>
        <rFont val="Calibri"/>
        <family val="2"/>
      </rPr>
      <t>Comercialización:</t>
    </r>
  </si>
  <si>
    <r>
      <t>a)</t>
    </r>
    <r>
      <rPr>
        <sz val="7"/>
        <color rgb="FF000000"/>
        <rFont val="Times New Roman"/>
        <family val="1"/>
      </rPr>
      <t xml:space="preserve">      </t>
    </r>
    <r>
      <rPr>
        <sz val="9"/>
        <color rgb="FF000000"/>
        <rFont val="Calibri"/>
        <family val="2"/>
      </rPr>
      <t>Construcción de la estrategia regional de N.V. teniendo en cuenta la oferta y demanda regional.</t>
    </r>
  </si>
  <si>
    <r>
      <t>b)</t>
    </r>
    <r>
      <rPr>
        <sz val="7"/>
        <color rgb="FF000000"/>
        <rFont val="Times New Roman"/>
        <family val="1"/>
      </rPr>
      <t xml:space="preserve">      </t>
    </r>
    <r>
      <rPr>
        <sz val="9"/>
        <color rgb="FF000000"/>
        <rFont val="Calibri"/>
        <family val="2"/>
      </rPr>
      <t>Base de datos de N.V. verificados para alimentar el portafolio de bienes y servicios de negocios del MADS</t>
    </r>
  </si>
  <si>
    <r>
      <t>c)</t>
    </r>
    <r>
      <rPr>
        <sz val="7"/>
        <color rgb="FF000000"/>
        <rFont val="Times New Roman"/>
        <family val="1"/>
      </rPr>
      <t xml:space="preserve">       </t>
    </r>
    <r>
      <rPr>
        <sz val="9"/>
        <color rgb="FF000000"/>
        <rFont val="Calibri"/>
        <family val="2"/>
      </rPr>
      <t>Identificación, Participación y/o realización de ferias de promoción de los N.V.</t>
    </r>
  </si>
  <si>
    <t>* Nota: De manera consistente con el Indicador de Meta Nacional del Plan Nacional de Desarrollo "Programa Regional de Negocios Verdes". Este incluye en la "Metodología de Medición" la conformación de la ventanilla o nodo de negocios o la realización de alianzas o acuerdos con otras instituciones para la implementación del Programa Regional de Negocios Verdes en la autoridad ambiental. Adicionalmente, la publicación "Metodología para implementar el Programa Regional de Negocios Verdes" incluye el proceso de articulación de actores con el objetivo de iniciar el proceso con la autoridad ambiental y entes territoriales para la conformación de la Ventanilla/Nodo de NV o realización de alianzas o acuerdos con otras instituciones para la implementación del PRNV.</t>
  </si>
  <si>
    <t>El listado anterior es indicativo. Las acciones a ser realizadas por las Corporaciones deben corresponder a las acciones priorizadas en el respectivo PRNV.</t>
  </si>
  <si>
    <r>
      <t xml:space="preserve">IPRVAA </t>
    </r>
    <r>
      <rPr>
        <vertAlign val="subscript"/>
        <sz val="9"/>
        <color rgb="FF000000"/>
        <rFont val="Calibri"/>
        <family val="2"/>
        <scheme val="minor"/>
      </rPr>
      <t>t</t>
    </r>
    <r>
      <rPr>
        <sz val="9"/>
        <color rgb="FF000000"/>
        <rFont val="Calibri"/>
        <family val="2"/>
        <scheme val="minor"/>
      </rPr>
      <t xml:space="preserve"> = Implementación del Programa Regional de Negocios Verdes por la autoridad ambiental, en el tiempo t.</t>
    </r>
  </si>
  <si>
    <r>
      <t xml:space="preserve">EAPRNV </t>
    </r>
    <r>
      <rPr>
        <vertAlign val="subscript"/>
        <sz val="9"/>
        <color rgb="FF000000"/>
        <rFont val="Calibri"/>
        <family val="2"/>
        <scheme val="minor"/>
      </rPr>
      <t>1t</t>
    </r>
    <r>
      <rPr>
        <sz val="9"/>
        <color rgb="FF000000"/>
        <rFont val="Calibri"/>
        <family val="2"/>
        <scheme val="minor"/>
      </rPr>
      <t xml:space="preserve"> = Ejecución de acción 1 relacionada con el Programa Regional de Negocios Verdes, en el tiempo t.</t>
    </r>
  </si>
  <si>
    <r>
      <t xml:space="preserve">EAPRNV </t>
    </r>
    <r>
      <rPr>
        <vertAlign val="subscript"/>
        <sz val="9"/>
        <color rgb="FF000000"/>
        <rFont val="Calibri"/>
        <family val="2"/>
        <scheme val="minor"/>
      </rPr>
      <t>2t</t>
    </r>
    <r>
      <rPr>
        <sz val="9"/>
        <color rgb="FF000000"/>
        <rFont val="Calibri"/>
        <family val="2"/>
        <scheme val="minor"/>
      </rPr>
      <t xml:space="preserve"> = Ejecución de acción 2 relacionada con el Programa Regional de Negocios Verdes, en el tiempo t.</t>
    </r>
  </si>
  <si>
    <r>
      <t xml:space="preserve">EAPRNV </t>
    </r>
    <r>
      <rPr>
        <vertAlign val="subscript"/>
        <sz val="9"/>
        <color rgb="FF000000"/>
        <rFont val="Calibri"/>
        <family val="2"/>
        <scheme val="minor"/>
      </rPr>
      <t>nt</t>
    </r>
    <r>
      <rPr>
        <sz val="9"/>
        <color rgb="FF000000"/>
        <rFont val="Calibri"/>
        <family val="2"/>
        <scheme val="minor"/>
      </rPr>
      <t xml:space="preserve"> = Ejecución de acción N relacionada con el Programa Regional de Negocios Verdes, en el tiempo t.</t>
    </r>
  </si>
  <si>
    <r>
      <t>a = ponderador de EAPRNV</t>
    </r>
    <r>
      <rPr>
        <vertAlign val="subscript"/>
        <sz val="9"/>
        <color rgb="FF000000"/>
        <rFont val="Calibri"/>
        <family val="2"/>
        <scheme val="minor"/>
      </rPr>
      <t>1</t>
    </r>
  </si>
  <si>
    <r>
      <t>b = ponderador de EAPRNV</t>
    </r>
    <r>
      <rPr>
        <vertAlign val="subscript"/>
        <sz val="9"/>
        <color rgb="FF000000"/>
        <rFont val="Calibri"/>
        <family val="2"/>
        <scheme val="minor"/>
      </rPr>
      <t>2</t>
    </r>
  </si>
  <si>
    <r>
      <t>z = ponderador de EAPRNV</t>
    </r>
    <r>
      <rPr>
        <vertAlign val="subscript"/>
        <sz val="9"/>
        <color rgb="FF000000"/>
        <rFont val="Calibri"/>
        <family val="2"/>
        <scheme val="minor"/>
      </rPr>
      <t>n</t>
    </r>
  </si>
  <si>
    <t>a + b + c+…+z = 1</t>
  </si>
  <si>
    <t>Ejecución presupuestal de las acciones relacionadas con la Implementación del Programa Regional de Negocios Verdes por la autoridad ambiental</t>
  </si>
  <si>
    <r>
      <t xml:space="preserve">EAPRNV </t>
    </r>
    <r>
      <rPr>
        <vertAlign val="subscript"/>
        <sz val="9"/>
        <color rgb="FF000000"/>
        <rFont val="Calibri"/>
        <family val="2"/>
        <scheme val="minor"/>
      </rPr>
      <t>i</t>
    </r>
    <r>
      <rPr>
        <sz val="9"/>
        <color rgb="FF000000"/>
        <rFont val="Calibri"/>
        <family val="2"/>
        <scheme val="minor"/>
      </rPr>
      <t xml:space="preserve"> = Ejecución presupuestal de la acción </t>
    </r>
    <r>
      <rPr>
        <i/>
        <sz val="9"/>
        <color rgb="FF000000"/>
        <rFont val="Calibri"/>
        <family val="2"/>
        <scheme val="minor"/>
      </rPr>
      <t>i</t>
    </r>
    <r>
      <rPr>
        <sz val="9"/>
        <color rgb="FF000000"/>
        <rFont val="Calibri"/>
        <family val="2"/>
        <scheme val="minor"/>
      </rPr>
      <t xml:space="preserve"> asociada al Programa Regional de Negocios Verdes por la autoridad ambiental, en el año t.</t>
    </r>
  </si>
  <si>
    <r>
      <t xml:space="preserve">CAPRNV </t>
    </r>
    <r>
      <rPr>
        <vertAlign val="subscript"/>
        <sz val="9"/>
        <color rgb="FF000000"/>
        <rFont val="Calibri"/>
        <family val="2"/>
        <scheme val="minor"/>
      </rPr>
      <t>it</t>
    </r>
    <r>
      <rPr>
        <sz val="9"/>
        <color rgb="FF000000"/>
        <rFont val="Calibri"/>
        <family val="2"/>
        <scheme val="minor"/>
      </rPr>
      <t xml:space="preserve"> = Compromisos correspondientes a la acción i en el marco del Programa Regional de Negocios Verdes, en el año t.</t>
    </r>
  </si>
  <si>
    <r>
      <t xml:space="preserve">PDAPRNV </t>
    </r>
    <r>
      <rPr>
        <vertAlign val="subscript"/>
        <sz val="9"/>
        <color rgb="FF000000"/>
        <rFont val="Calibri"/>
        <family val="2"/>
        <scheme val="minor"/>
      </rPr>
      <t>it</t>
    </r>
    <r>
      <rPr>
        <sz val="9"/>
        <color rgb="FF000000"/>
        <rFont val="Calibri"/>
        <family val="2"/>
        <scheme val="minor"/>
      </rPr>
      <t xml:space="preserve"> = Presupuesto definitivo a la acción i en el marco del Programa Regional de Negocios Verdes, en el año t.</t>
    </r>
  </si>
  <si>
    <t>Licencias ambientales</t>
  </si>
  <si>
    <t>TL.A. Tiempo efectivo de duración del trámite de otorgamiento de licencias ambientales (número de días)</t>
  </si>
  <si>
    <t xml:space="preserve">N L.A.: Número de solicitudes de licencia ambiental atendidos </t>
  </si>
  <si>
    <t>Tx L.A. Tiempo promedio efectivo de duración del trámite de licencias ambientales</t>
  </si>
  <si>
    <t>Concesiones de agua</t>
  </si>
  <si>
    <t xml:space="preserve">N C.A.S.: Número de solicitudes de concesión de agua recibidas en el periodo. </t>
  </si>
  <si>
    <t>Tx C.A.S. Tiempo promedio efectivo de duración del trámite de Concesiones de Agua.</t>
  </si>
  <si>
    <t>Permisos de vertimiento de agua</t>
  </si>
  <si>
    <t>TP.V. Tiempo efectivo de duración del trámite de otorgamiento de un permiso de vertimiento (número de días)</t>
  </si>
  <si>
    <t>N P.V.: Número de solicitudes de permisos de vertimiento recibidas en el periodo.</t>
  </si>
  <si>
    <t>Tx P.V. Tiempo promedio efectivo de duración del trámite de otorgamiento de un permiso de vertimiento.</t>
  </si>
  <si>
    <t>Permisos de aprovechamiento forestal</t>
  </si>
  <si>
    <t>TP.E. Tiempo efectivo de duración del trámite de otorgamiento de un permiso de emisión (número de días)</t>
  </si>
  <si>
    <t>N A.F. Número de solicitudes de permisos de aprovechamiento forestal recibidas en el periodo</t>
  </si>
  <si>
    <t xml:space="preserve">Tx A.F. Tiempo promedio efectivo de duración del trámite de otorgamiento de un permiso de aprovechamiento forestal </t>
  </si>
  <si>
    <t>Permisos de emisiones atmosféricas</t>
  </si>
  <si>
    <t xml:space="preserve">TP.E. Tiempo efectivo de duración del trámite de otorgamiento de un permiso de emisión (número de días) </t>
  </si>
  <si>
    <t>N P.E. Número de solicitudes de permisos de emisiones atmosféricas recibidas en el periodo</t>
  </si>
  <si>
    <t>Tx P.E. Tiempo promedio efectivo de duración del trámite de otorgamiento de un permiso de emisión</t>
  </si>
  <si>
    <t>Cálculo del indicador global</t>
  </si>
  <si>
    <t>Tiempo Promedio</t>
  </si>
  <si>
    <t>Meta anual</t>
  </si>
  <si>
    <t>% Meta alcanzada</t>
  </si>
  <si>
    <t>Porcentaje de autorizaciones ambientales con seguimiento (promedio simple)</t>
  </si>
  <si>
    <t>Cuanto menor sea el tiempo promedio, teniendo como referencia los tiempos establecidos en la normativa, mayor es el cumplimiento por parte de la autoridad ambiental en la eficiencia en la resolución de las solicitudes de autorizaciones ambientales (licencias ambientales, concesiones de agua, permisos de aprovechamiento forestal, permisos de emisiones atmosféricas y permisos de vertimiento de agua).</t>
  </si>
  <si>
    <r>
      <t>Hoja Metodológica de referencia:</t>
    </r>
    <r>
      <rPr>
        <sz val="9"/>
        <color rgb="FF000000"/>
        <rFont val="Calibri"/>
        <family val="2"/>
        <scheme val="minor"/>
      </rPr>
      <t xml:space="preserve"> MADS (2016). </t>
    </r>
    <r>
      <rPr>
        <b/>
        <i/>
        <sz val="9"/>
        <color rgb="FF000000"/>
        <rFont val="Calibri"/>
        <family val="2"/>
        <scheme val="minor"/>
      </rPr>
      <t>Tiempo promedio de trámite para la resolución de autorizaciones ambientales otorgadas por la corporación</t>
    </r>
    <r>
      <rPr>
        <i/>
        <sz val="9"/>
        <color rgb="FF000000"/>
        <rFont val="Calibri"/>
        <family val="2"/>
        <scheme val="minor"/>
      </rPr>
      <t xml:space="preserve"> (Versión 1.0).</t>
    </r>
    <r>
      <rPr>
        <sz val="9"/>
        <color rgb="FF000000"/>
        <rFont val="Calibri"/>
        <family val="2"/>
        <scheme val="minor"/>
      </rPr>
      <t xml:space="preserve"> Ministerio de Ambiente y Desarrollo Sostenible MADS, DGOAT-SINA.</t>
    </r>
  </si>
  <si>
    <t>El tiempo promedio de trámite o procedimiento para la resolución de autorizaciones ambientales otorgadas por las autoridades ambientales es el resultado de la suma de los tiempos de cada trámite (licencias ambientales, concesiones de agua, permisos de aprovechamiento forestal, permisos de emisiones atmosféricas y permisos de vertimiento de agua), dividido en el número de trámites resueltos por la autoridad ambiental.</t>
  </si>
  <si>
    <t xml:space="preserve">Se entiende por tiempo efectivo, el periodo de tiempo en días que dura el proceso en manos de la Corporación, que resulta de descontar del tiempo total desde la radicación de la solicitud hasta la manifestación final de la autoridad ambiental, descontado el tiempo utilizado por el peticionario para atender los actos de trámites expedidos en el proceso. </t>
  </si>
  <si>
    <t>El indicador mide los cambios en la eficiencia por parte de la autoridad ambiental en la resolución de las solicitudes de autorizaciones ambientales (licencias ambientales, concesiones de agua, permisos de aprovechamiento forestal, permisos de emisiones atmosféricas y permisos de vertimiento de agua).</t>
  </si>
  <si>
    <t>Resolución 2202 de 2006.</t>
  </si>
  <si>
    <t>Licencias ambientales: Decreto 1076 de 2015</t>
  </si>
  <si>
    <t>Concesiones de agua: Decreto Ley 2811 de 1974, Decreto 1076 de 2015</t>
  </si>
  <si>
    <t>Permisos de vertimiento de agua: Decreto Ley 2811 de 1974, Decreto 1076 de 2015.</t>
  </si>
  <si>
    <t>Permisos de emisión: Decreto Ley 2811 de 1974, Decreto 1076 de 2015, Resolución 619 de 1997 y sus modificaciones, Resolución 909 de 2008 y sus modificaciones.</t>
  </si>
  <si>
    <t>Permisos de aprovechamiento forestal: Decreto Ley 2811 de 1974, Decreto 1076 de 2015, entre otros.</t>
  </si>
  <si>
    <r>
      <t>Las autorizaciones administrativas son un acto administrativo cualquiera que sea su denominación específica, por el cual en uso de una potestad de intervención legalmente atribuida a la Administración, se permite a los particulares el ejercicio de una actividad privada, previa comprobación de su adecuación al ordenamiento jurídico y valoración del interés afectado</t>
    </r>
    <r>
      <rPr>
        <i/>
        <sz val="9"/>
        <color rgb="FF000000"/>
        <rFont val="Calibri"/>
        <family val="2"/>
        <scheme val="minor"/>
      </rPr>
      <t xml:space="preserve">, </t>
    </r>
    <r>
      <rPr>
        <sz val="9"/>
        <color rgb="FF000000"/>
        <rFont val="Calibri"/>
        <family val="2"/>
        <scheme val="minor"/>
      </rPr>
      <t>las cuales en el caso ambiental se traducen en permisos, concesiones, asociaciones y licencias ambientales que permiten el uso, utilización o aprovechamiento de los recursos naturales renovables o la ejecución de proyectos, obras o actividades que puedan producir deterioro grave a los recursos naturales renovables o al medio ambiente o introducir modificaciones considerables o notorias al paisaje.</t>
    </r>
  </si>
  <si>
    <t>A manera de ejemplo encontramos: concesiones de agua, permisos para la exploración y ocupación de cauces, playas y lechos, permisos de aprovechamiento forestal, permiso de emisiones atmosféricas y otros.</t>
  </si>
  <si>
    <t>La Ley 99 de 1993 en su artículo 70 establece como todo trámite ambiental requiere auto de iniciación para comenzar la evaluación hasta la fecha de emisión del acto administrativo definitivo que resuelve la solicitud.</t>
  </si>
  <si>
    <t>Sin embargo, cada autorización administrativa posee un procedimiento propio. El tiempo promedio de trámite para la evaluación de las licencias ambientales, permisos y autorizaciones otorgadas por las autoridades ambientales, se refiere al tiempo efectivo utilizado por la Corporación para manifestarse de manera positiva o negativa sobre la solicitud de licenciamiento o aprovechamiento de recursos, a partir de la fecha de radicación de la solicitud.</t>
  </si>
  <si>
    <t>Se debe entender como tiempo efectivo, el periodo de tiempo en días que dura el proceso en manos de la autoridad ambiental, que resulta de descontar del tiempo total desde la radicación de la solicitud hasta la manifestación final de la autoridad ambiental, descontado el tiempo utilizado por el peticionario para atender los actos de trámites expedidos en el proceso. En los casos de audiencias Públicas o consultas previas también se suspenden términos, los cuales se descuentan del tiempo efectivo de la evaluación.</t>
  </si>
  <si>
    <t xml:space="preserve">En el cálculo de las Solicitudes con vencimiento de términos dentro del periodo de reporte (Denominador del indicador), no se contabilizan las solicitudes que debieron ser resueltas en periodos de reporte anteriores, o que se resuelven antes de términos en los periodos anteriores del periodo de reporte. </t>
  </si>
  <si>
    <t>De igual forma, se aplicará la misma lógica para las solicitudes de concesiones de agua, permisos de aprovechamiento forestal, emisiones atmosféricas y permisos de vertimiento.</t>
  </si>
  <si>
    <t>Tx: Tiempo promedio efectivo de duración del trámite x.</t>
  </si>
  <si>
    <t>Ti: Tiempo de duración de cada trámite i en la categoría x.</t>
  </si>
  <si>
    <t>x = Licencias ambientales, concesiones de agua, permisos de aprovechamiento forestal, permisos de emisiones atmosféricas y permisos de vertimiento de agua.</t>
  </si>
  <si>
    <t>n: Número de trámites atendidos de cada una de las categorías analizadas (Licencia ambiental, concesión de agua, permiso de vertimiento de agua, aprovechamiento forestal, permiso de emisión).</t>
  </si>
  <si>
    <r>
      <t>Definición de las variables del indicador</t>
    </r>
    <r>
      <rPr>
        <sz val="9"/>
        <color rgb="FF000000"/>
        <rFont val="Calibri"/>
        <family val="2"/>
        <scheme val="minor"/>
      </rPr>
      <t>: Los procesos a analizar corresponderán a los trámites más comunes que se adelantan ante la autoridad ambiental, determinando su tiempo de duración así:</t>
    </r>
  </si>
  <si>
    <t>TL.A. = Tiempo efectivo de duración del trámite de otorgamiento de licencias ambientales</t>
  </si>
  <si>
    <t>TC.A. = Tiempo efectivo de duración del trámite de otorgamiento de una concesión de agua</t>
  </si>
  <si>
    <t>T.P.V. = Tiempo efectivo de duración del trámite de otorgamiento de un permiso de vertimiento</t>
  </si>
  <si>
    <t>T.A.F. = Tiempo efectivo de duración del trámite de otorgamiento de un aprovechamiento Forestal</t>
  </si>
  <si>
    <t xml:space="preserve">T.P.E. = Tiempo efectivo de duración del trámite de otorgamiento de un permiso de emisión </t>
  </si>
  <si>
    <t>Seguimiento de licencias ambientales</t>
  </si>
  <si>
    <t>Número total de licencias ambientales priorizadas por la Corporación para hacer seguimiento en el cuatrienio:</t>
  </si>
  <si>
    <t>Meta de licencias ambientales con seguimiento (MLACS)</t>
  </si>
  <si>
    <t>Número de licencias ambientales con seguimiento (LACS)</t>
  </si>
  <si>
    <t>Porcentaje de licencias ambientales con seguimiento (PLACS)</t>
  </si>
  <si>
    <t>Detalle de seguimiento a licencias ambientales en la vigencia</t>
  </si>
  <si>
    <t>Sector</t>
  </si>
  <si>
    <t>Número de licencias por sector</t>
  </si>
  <si>
    <t>Número de expedientes activos</t>
  </si>
  <si>
    <t>Meta de seguimiento (número)</t>
  </si>
  <si>
    <t>Licencias con seguimiento</t>
  </si>
  <si>
    <t>(número)</t>
  </si>
  <si>
    <t>Seguimiento de concesiones de agua</t>
  </si>
  <si>
    <t>Valor</t>
  </si>
  <si>
    <t>Seguimiento de concesiones de agua (número)</t>
  </si>
  <si>
    <t>Meta de número de concesiones de agua con seguimiento (MCACS)</t>
  </si>
  <si>
    <t>Número de concesiones de agua con seguimiento (CACS)</t>
  </si>
  <si>
    <t>Porcentaje de concesiones de agua con seguimiento (PCACS)</t>
  </si>
  <si>
    <t>Seguimiento de concesiones de agua (metros cúbicos / segundo)</t>
  </si>
  <si>
    <t>Meta de concesiones de agua con seguimiento (MCACSMC)</t>
  </si>
  <si>
    <t>Concesiones de agua con seguimiento (CACSMC)</t>
  </si>
  <si>
    <t>Porcentaje de concesiones de agua con seguimiento (PCACSMC)</t>
  </si>
  <si>
    <t>Seguimiento de permisos de vertimiento de agua</t>
  </si>
  <si>
    <t>Seguimiento de permisos de vertimiento de agua (número)</t>
  </si>
  <si>
    <t>Meta de número de permisos de vertimiento de agua con seguimiento (MVACS)</t>
  </si>
  <si>
    <t>Número de permisos de vertimiento de agua con seguimiento (VACS)</t>
  </si>
  <si>
    <t>Porcentaje de permisos de vertimiento de agua con seguimiento (PVACS)</t>
  </si>
  <si>
    <t>Seguimiento de permisos de vertimiento de agua (metros cúbicos / segundo) y PSMV</t>
  </si>
  <si>
    <t>Meta de permisos de vertimiento de agua con seguimiento (MVACSMC)</t>
  </si>
  <si>
    <t>Permisos de vertimiento de agua con seguimiento (VACSMC)</t>
  </si>
  <si>
    <t>Porcentaje de permisos de vertimiento de agua con seguimiento (PVACSMC)</t>
  </si>
  <si>
    <t>Seguimiento de permisos de aprovechamiento forestal</t>
  </si>
  <si>
    <t>Seguimiento de permisos de aprovechamiento forestal (número)</t>
  </si>
  <si>
    <t>Meta de número de permisos de aprovechamiento forestal con seguimiento (MPAFCS)</t>
  </si>
  <si>
    <t>Número de permisos de aprovechamiento forestal con seguimiento (PAFCS)</t>
  </si>
  <si>
    <t>Porcentaje de permisos de aprovechamiento forestal con seguimiento (PPAFCS)</t>
  </si>
  <si>
    <t>Seguimiento de permisos de aprovechamiento forestal (metros cúbicos)</t>
  </si>
  <si>
    <t>Meta de permisos de aprovechamiento forestal con seguimiento (MPACFSMC)</t>
  </si>
  <si>
    <t>Permisos de aprovechamiento forestal con seguimiento (PAFCSMC)</t>
  </si>
  <si>
    <t>Porcentaje de permisos de aprovechamiento forestal con seguimiento (PPAFCSMC)</t>
  </si>
  <si>
    <t>Seguimiento de permisos de emisiones atmosféricas</t>
  </si>
  <si>
    <t>Número de usuarios de permisos de emisiones atmosféricas a 31/12/2019</t>
  </si>
  <si>
    <t>Número de permisos de emisiones atmosféricas vigentes a 31/12/2019</t>
  </si>
  <si>
    <t>Seguimiento de permisos de emisiones atmosféricas (número)</t>
  </si>
  <si>
    <t>Meta de número de permisos de emisiones atmosféricas con seguimiento (MPEACS)</t>
  </si>
  <si>
    <t>Número de permisos de emisiones atmosféricas con seguimiento (EACS)</t>
  </si>
  <si>
    <t>Porcentaje de permisos de emisiones atmosféricas con seguimiento (PEACS)</t>
  </si>
  <si>
    <t>% Seguimiento</t>
  </si>
  <si>
    <t>Seguimiento ponderado</t>
  </si>
  <si>
    <t>Cuanto más cercano a cien por ciento, mayor es el cumplimiento de las metas que la autoridad ambiental se ha propuesto alcanzar en relación con el seguimiento a las autorizaciones ambientales (licencias ambientales, concesiones de agua, aprovechamiento forestal, emisiones atmosféricas y permisos de vertimiento).</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</si>
  <si>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autorizaciones ambientales con seguimiento (Versión 1.0).</t>
    </r>
    <r>
      <rPr>
        <sz val="9"/>
        <color rgb="FF000000"/>
        <rFont val="Calibri"/>
        <family val="2"/>
        <scheme val="minor"/>
      </rPr>
      <t xml:space="preserve"> Ministerio de Ambiente y Desarrollo Sostenible, DGOAT-SINA.</t>
    </r>
  </si>
  <si>
    <t>Es la relación entre el número de Autorizaciones ambientales con seguimiento con respecto a la meta de seguimiento de dichas autorizaciones por parte de la autoridad ambiental.</t>
  </si>
  <si>
    <t>El indicador mide el cumplimiento de las metas que la autoridad ambiental se ha propuesto alcanzar en relación con el seguimiento a las autorizaciones ambientales (Licencias ambientales, concesiones de agua, permisos de aprovechamiento forestal, permisos de emisiones atmosféricas y permisos de vertimiento de agua).</t>
  </si>
  <si>
    <t>Resolución 619 de 1997 modificada por la Res 1377 de 2015 y Resolución 909 de 2008 y sus modificaciones.</t>
  </si>
  <si>
    <r>
      <t>Las autorizaciones administrativas son</t>
    </r>
    <r>
      <rPr>
        <i/>
        <sz val="9"/>
        <color rgb="FF000000"/>
        <rFont val="Calibri"/>
        <family val="2"/>
        <scheme val="minor"/>
      </rPr>
      <t xml:space="preserve"> </t>
    </r>
    <r>
      <rPr>
        <sz val="9"/>
        <color rgb="FF000000"/>
        <rFont val="Calibri"/>
        <family val="2"/>
        <scheme val="minor"/>
      </rPr>
      <t>un acto administrativo cualquiera que sea su denominación específica, por el cual en uso de una potestad de intervención legalmente atribuida a la Administración, se permite a los particulares el ejercicio de una actividad privada, previa comprobación de su adecuación al ordenamiento jurídico y valoración del interés afectado</t>
    </r>
    <r>
      <rPr>
        <i/>
        <sz val="9"/>
        <color rgb="FF000000"/>
        <rFont val="Calibri"/>
        <family val="2"/>
        <scheme val="minor"/>
      </rPr>
      <t xml:space="preserve">, </t>
    </r>
    <r>
      <rPr>
        <sz val="9"/>
        <color rgb="FF000000"/>
        <rFont val="Calibri"/>
        <family val="2"/>
        <scheme val="minor"/>
      </rPr>
      <t>las cuales en el caso ambiental se traducen en permisos, concesiones, asociaciones y licencias ambientales que permiten el uso, utilización o aprovechamiento de los recursos naturales renovables o la ejecución de proyectos, obras o actividades que puedan producir deterioro grave a los recursos naturales renovables o al medio ambiente o introducir modificaciones considerables o notorias al paisaje. A manera de ejemplo encontramos: concesiones de agua, permisos para la exploración y ocupación de cauces, playas y lechos, permisos de aprovechamiento forestal, permiso de emisiones atmosféricas y otros.</t>
    </r>
  </si>
  <si>
    <t>Una vez otorgadas las autorizaciones administrativas corresponde a la autoridad ambiental realizar su respectivo seguimiento. A manera de ejemplo en licencias ambientales la autoridad ambiental define una priorización de los sectores y/o de los proyectos, obras o actividades licenciados, durante su construcción, operación, desmantelamiento o abandono, que son objeto de control y seguimiento. Esto con el fin de: 1. Verificar la implementación del Plan de Manejo Ambiental, seguimiento y monitoreo, y de contingencia, así como la eficiencia y eficacia de las medidas de manejo implementadas; 2. Constatar y exigir el cumplimiento de todos los términos, obligaciones y condiciones que se deriven de la licencia ambiental o Plan de Manejo Ambiental; 3. Corroborar cómo es el comportamiento real del medio ambiente y de los recursos naturales frente al desarrollo del proyecto; y 4. Evaluar el desempeño ambiental considerando las medidas de manejo establecidas para controlar los impactos ambientales.</t>
  </si>
  <si>
    <t>En el desarrollo de dicha gestión, la autoridad ambiental puede realizar entre otras actividades, visitas al lugar donde se desarrolla el proyecto, hacer requerimientos de información, corroborar, técnicamente o a través de pruebas, los resultados de los monitoreos realizados por el beneficiario de la licencia.</t>
  </si>
  <si>
    <t>Así mismo, para las concesiones de agua, los permisos de aprovechamiento forestal, las emisiones atmosféricas y los permisos de vertimiento de agua, la Corporación una meta cuatrienal y para cada una de las vigencias.</t>
  </si>
  <si>
    <r>
      <t xml:space="preserve">PTAACS </t>
    </r>
    <r>
      <rPr>
        <vertAlign val="subscript"/>
        <sz val="9"/>
        <color rgb="FF000000"/>
        <rFont val="Calibri"/>
        <family val="2"/>
        <scheme val="minor"/>
      </rPr>
      <t>t</t>
    </r>
    <r>
      <rPr>
        <sz val="9"/>
        <color rgb="FF000000"/>
        <rFont val="Calibri"/>
        <family val="2"/>
        <scheme val="minor"/>
      </rPr>
      <t xml:space="preserve"> = Porcentaje total de autorizaciones ambientales con seguimiento, en el tiempo t.</t>
    </r>
  </si>
  <si>
    <r>
      <t xml:space="preserve">PAACS </t>
    </r>
    <r>
      <rPr>
        <vertAlign val="subscript"/>
        <sz val="9"/>
        <color rgb="FF000000"/>
        <rFont val="Calibri"/>
        <family val="2"/>
        <scheme val="minor"/>
      </rPr>
      <t>i</t>
    </r>
    <r>
      <rPr>
        <sz val="9"/>
        <color rgb="FF000000"/>
        <rFont val="Calibri"/>
        <family val="2"/>
        <scheme val="minor"/>
      </rPr>
      <t xml:space="preserve"> = Porcentaje de la autorización ambiental </t>
    </r>
    <r>
      <rPr>
        <i/>
        <sz val="9"/>
        <color rgb="FF000000"/>
        <rFont val="Calibri"/>
        <family val="2"/>
        <scheme val="minor"/>
      </rPr>
      <t>i</t>
    </r>
    <r>
      <rPr>
        <sz val="9"/>
        <color rgb="FF000000"/>
        <rFont val="Calibri"/>
        <family val="2"/>
        <scheme val="minor"/>
      </rPr>
      <t xml:space="preserve"> con seguimiento, en el tiempo t.</t>
    </r>
  </si>
  <si>
    <t>i = Licencias ambientales, concesiones de agua, permisos de aprovechamiento forestal, permisos de emisiones atmosféricas y permisos de vertimiento de agua.</t>
  </si>
  <si>
    <r>
      <t>a</t>
    </r>
    <r>
      <rPr>
        <vertAlign val="subscript"/>
        <sz val="9"/>
        <color rgb="FF000000"/>
        <rFont val="Calibri"/>
        <family val="2"/>
        <scheme val="minor"/>
      </rPr>
      <t xml:space="preserve">i = </t>
    </r>
    <r>
      <rPr>
        <sz val="9"/>
        <color rgb="FF000000"/>
        <rFont val="Calibri"/>
        <family val="2"/>
        <scheme val="minor"/>
      </rPr>
      <t>Ponderación correspondiente a cada autorización ambiental (licencias ambientales, las concesiones de agua, los permisos de aprovechamiento forestal, los permisos de emisiones atmosféricas y los permisos de vertimiento de agua y PSMV). La suma de los ponderadores es igual a 1.</t>
    </r>
  </si>
  <si>
    <t>Porcentaje de seguimiento de cada autorización ambiental</t>
  </si>
  <si>
    <r>
      <t xml:space="preserve">PAACS </t>
    </r>
    <r>
      <rPr>
        <vertAlign val="subscript"/>
        <sz val="9"/>
        <color rgb="FF000000"/>
        <rFont val="Calibri"/>
        <family val="2"/>
        <scheme val="minor"/>
      </rPr>
      <t>it</t>
    </r>
    <r>
      <rPr>
        <sz val="9"/>
        <color rgb="FF000000"/>
        <rFont val="Calibri"/>
        <family val="2"/>
        <scheme val="minor"/>
      </rPr>
      <t xml:space="preserve"> = Porcentaje de la autorización ambiental </t>
    </r>
    <r>
      <rPr>
        <i/>
        <sz val="9"/>
        <color rgb="FF000000"/>
        <rFont val="Calibri"/>
        <family val="2"/>
        <scheme val="minor"/>
      </rPr>
      <t>i</t>
    </r>
    <r>
      <rPr>
        <sz val="9"/>
        <color rgb="FF000000"/>
        <rFont val="Calibri"/>
        <family val="2"/>
        <scheme val="minor"/>
      </rPr>
      <t xml:space="preserve"> con seguimiento, en el tiempo t.</t>
    </r>
  </si>
  <si>
    <r>
      <t xml:space="preserve">AACS </t>
    </r>
    <r>
      <rPr>
        <vertAlign val="subscript"/>
        <sz val="9"/>
        <color rgb="FF000000"/>
        <rFont val="Calibri"/>
        <family val="2"/>
        <scheme val="minor"/>
      </rPr>
      <t>it</t>
    </r>
    <r>
      <rPr>
        <sz val="9"/>
        <color rgb="FF000000"/>
        <rFont val="Calibri"/>
        <family val="2"/>
        <scheme val="minor"/>
      </rPr>
      <t xml:space="preserve"> = Número de autorizaciones ambientales</t>
    </r>
    <r>
      <rPr>
        <i/>
        <sz val="9"/>
        <color rgb="FF000000"/>
        <rFont val="Calibri"/>
        <family val="2"/>
        <scheme val="minor"/>
      </rPr>
      <t xml:space="preserve"> i</t>
    </r>
    <r>
      <rPr>
        <sz val="9"/>
        <color rgb="FF000000"/>
        <rFont val="Calibri"/>
        <family val="2"/>
        <scheme val="minor"/>
      </rPr>
      <t xml:space="preserve"> con seguimiento, en el tiempo t.</t>
    </r>
  </si>
  <si>
    <r>
      <t xml:space="preserve">MAACS </t>
    </r>
    <r>
      <rPr>
        <vertAlign val="subscript"/>
        <sz val="9"/>
        <color rgb="FF000000"/>
        <rFont val="Calibri"/>
        <family val="2"/>
        <scheme val="minor"/>
      </rPr>
      <t>it</t>
    </r>
    <r>
      <rPr>
        <sz val="9"/>
        <color rgb="FF000000"/>
        <rFont val="Calibri"/>
        <family val="2"/>
        <scheme val="minor"/>
      </rPr>
      <t xml:space="preserve"> = Meta de autorizaciones ambientales </t>
    </r>
    <r>
      <rPr>
        <i/>
        <sz val="9"/>
        <color rgb="FF000000"/>
        <rFont val="Calibri"/>
        <family val="2"/>
        <scheme val="minor"/>
      </rPr>
      <t>i</t>
    </r>
    <r>
      <rPr>
        <sz val="9"/>
        <color rgb="FF000000"/>
        <rFont val="Calibri"/>
        <family val="2"/>
        <scheme val="minor"/>
      </rPr>
      <t xml:space="preserve"> con seguimiento, en el tiempo t.</t>
    </r>
  </si>
  <si>
    <t>La meta de número de autorizaciones ambientales sujetos a seguimiento es establecida por la Corporación tanto para el cuatrienio como para cada una de las vigencias.</t>
  </si>
  <si>
    <t>Número de actos administrativos de iniciación de procedimiento sancionatorio expedidos (AIPS)</t>
  </si>
  <si>
    <t>Número de actos administrativos de determinación de la responsabilidad expedidos en la vigencia (ADR)</t>
  </si>
  <si>
    <t>Número de actos administrativos de cesación de procedimiento expedidos en la vigencia (ACP)</t>
  </si>
  <si>
    <t>Porcentaje de Procesos Sancionatorios Resueltos (PPSR)</t>
  </si>
  <si>
    <t>Cuanto más cercano a cien por ciento, mayor es el cumplimiento por parte de la autoridad ambiental de su función de adelantar los procesos sancionatorios por la comisión de infracciones en materia ambiental.</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</si>
  <si>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Procesos Sancionatorios Resueltos (Versión 1.0).</t>
    </r>
    <r>
      <rPr>
        <sz val="9"/>
        <color rgb="FF000000"/>
        <rFont val="Calibri"/>
        <family val="2"/>
        <scheme val="minor"/>
      </rPr>
      <t xml:space="preserve"> Ministerio de Ambiente y Desarrollo Sostenible, DGOAT-SINA.</t>
    </r>
  </si>
  <si>
    <t>Es la relación entre el número de actos administrativos de determinación de la responsabilidad o de cesación de procedimiento expedidos, con respecto al número de actos administrativos de iniciación de procedimiento sancionatorio expedidos por la autoridad ambiental.</t>
  </si>
  <si>
    <r>
      <t>E</t>
    </r>
    <r>
      <rPr>
        <sz val="9"/>
        <color rgb="FF000000"/>
        <rFont val="Calibri"/>
        <family val="2"/>
        <scheme val="minor"/>
      </rPr>
      <t>l indicador mide el cumplimiento por parte de la autoridad ambiental en la gestión de los procesos sancionatorios abiertos, con relación a la ocurrencia de infracciones en materia ambiental en su jurisdicción.</t>
    </r>
  </si>
  <si>
    <t>Ley 99 de 1993, Ley Marco del Medio Ambiente</t>
  </si>
  <si>
    <t>Ley 1333 de 2009, Procedimiento sancionatorio ambiental</t>
  </si>
  <si>
    <t>La autoridad ambiental está en la obligación de establecer la ocurrencia o no de presuntas infracciones ambientales y de determinar la existencia o no de responsabilidad, y en caso afirmativo, sancionar a los responsables de manera oportuna, de tal manera que se garantice el cumplimiento de la normatividad ambiental vigente en las respectivas jurisdicciones de las autoridades ambientales.</t>
  </si>
  <si>
    <t>De conformidad con lo establecido en el artículo 5° de la Ley 1333 de 2009, se considera infracción en materia ambiental “toda acción u omisión que constituya violación de las normas contenidas en el Código de Recursos Naturales Renovables, Decreto-ley 2811 de 1974, en la Ley 99 de 1993, en la Ley 165 de 1994 y en las demás disposiciones ambientales vigentes en que las sustituyan o modifiquen y en los actos administrativos emanados de la autoridad ambiental competente. Será también constitutivo de infracción ambiental la comisión de un daño al medio ambiente, con las mismas condiciones que para configurar la responsabilidad civil extracontractual establece el Código Civil y la legislación complementaria, a saber: El daño, el hecho generador con culpa o dolo y el vínculo causal entre los dos. Cuando estos elementos se configuren darán lugar a una sanción administrativa ambiental, sin perjuicio de la responsabilidad que para terceros pueda generar el hecho en materia civil”.</t>
  </si>
  <si>
    <t>El acto administrativo de iniciación, es el acto mediante el cual se ordena el inicio del procedimiento sancionatorio para verificar los hechos u omisiones constitutivas de infracción a las normas ambientales, de conformidad con el art. 18 de la Ley 1333 de 2009.</t>
  </si>
  <si>
    <t>Cuando aparezca plenamente demostrada alguna de las causales de cesación del procedimiento, se expide un acto administrativo en tal sentido, de conformidad con el artículo 23 de la Ley 1333 de 2009.</t>
  </si>
  <si>
    <t>El acto administrativo de determinación de responsabilidad, es el acto mediante el cual se declara o no la responsabilidad del infractor por violación de la norma ambiental.</t>
  </si>
  <si>
    <r>
      <t xml:space="preserve">PPSR </t>
    </r>
    <r>
      <rPr>
        <vertAlign val="subscript"/>
        <sz val="9"/>
        <color rgb="FF000000"/>
        <rFont val="Calibri"/>
        <family val="2"/>
        <scheme val="minor"/>
      </rPr>
      <t>t</t>
    </r>
    <r>
      <rPr>
        <sz val="9"/>
        <color rgb="FF000000"/>
        <rFont val="Calibri"/>
        <family val="2"/>
        <scheme val="minor"/>
      </rPr>
      <t xml:space="preserve"> = Porcentaje de Procesos Sancionatorios Resueltos, en el tiempo t.</t>
    </r>
  </si>
  <si>
    <r>
      <t xml:space="preserve">ADR </t>
    </r>
    <r>
      <rPr>
        <vertAlign val="subscript"/>
        <sz val="9"/>
        <color rgb="FF000000"/>
        <rFont val="Calibri"/>
        <family val="2"/>
        <scheme val="minor"/>
      </rPr>
      <t>t</t>
    </r>
    <r>
      <rPr>
        <sz val="9"/>
        <color rgb="FF000000"/>
        <rFont val="Calibri"/>
        <family val="2"/>
        <scheme val="minor"/>
      </rPr>
      <t xml:space="preserve"> = Número de actos administrativos de determinación de la responsabilidad expedidos, en el tiempo t.</t>
    </r>
  </si>
  <si>
    <r>
      <t xml:space="preserve">ACP </t>
    </r>
    <r>
      <rPr>
        <vertAlign val="subscript"/>
        <sz val="9"/>
        <color rgb="FF000000"/>
        <rFont val="Calibri"/>
        <family val="2"/>
        <scheme val="minor"/>
      </rPr>
      <t>t</t>
    </r>
    <r>
      <rPr>
        <sz val="9"/>
        <color rgb="FF000000"/>
        <rFont val="Calibri"/>
        <family val="2"/>
        <scheme val="minor"/>
      </rPr>
      <t xml:space="preserve"> = Número de actos administrativos de cesación de procedimiento expedidos, en el tiempo t.</t>
    </r>
  </si>
  <si>
    <t>AIPS = Número de actos administrativos de iniciación de procedimiento sancionatorio expedidos.</t>
  </si>
  <si>
    <t>La variable AIPS comprende el total de los actos administrativos de iniciación de procedimiento sancionatorio expedidos en la vigencia respectiva, más los actos administrativos de iniciación de procedimiento cuyo proceso sancionatorio que se encuentre sin acto administrativo de determinación de la responsabilidad o de cesación de procedimiento expedido, a 31 de diciembre de la vigencia anterior.</t>
  </si>
  <si>
    <t>Meta de municipios a ser asesorados o asistidos en la inclusión del componente ambiental en los procesos de planificación y ordenamiento territorial, con énfasis en la incorporación de las determinantes ambientales para la revisión y ajuste de los POT (MMAPOT)</t>
  </si>
  <si>
    <t>Municipios asesorados o asistidos en la inclusión del componente ambiental en los procesos de planificación y ordenamiento territorial, con énfasis en la incorporación de las determinantes ambientales para la revisión y ajuste de los POT (MAPOT)</t>
  </si>
  <si>
    <t>Porcentaje de municipios asesorados o asistidos en la inclusión del componente ambiental en los procesos de planificación y ordenamiento territorial, con énfasis en la incorporación de las determinantes ambientales para la revisión y ajuste de los POT (PMAPOT) (C = B / A)</t>
  </si>
  <si>
    <t>Detalle de acciones de asesoría o asistencia a los municipios o distritos, realizadas en la vigencia (utilice tantas filas cuantas sean necesarias)</t>
  </si>
  <si>
    <t xml:space="preserve">Número de municipios </t>
  </si>
  <si>
    <t>Nombres de municipios</t>
  </si>
  <si>
    <t>Cuanto más cercano a cien por ciento, mayor es el cumplimiento de las metas establecidas en relación con la asesoría a los municipios en la incorporación de los determinantes ambientales para la revisión y ajuste de los POT.</t>
  </si>
  <si>
    <r>
      <t>Hoja Metodológica de referencia:</t>
    </r>
    <r>
      <rPr>
        <sz val="9"/>
        <color rgb="FF000000"/>
        <rFont val="Calibri"/>
        <family val="2"/>
        <scheme val="minor"/>
      </rPr>
      <t xml:space="preserve"> MADS (2016). </t>
    </r>
    <r>
      <rPr>
        <i/>
        <sz val="9"/>
        <color rgb="FF000000"/>
        <rFont val="Calibri"/>
        <family val="2"/>
        <scheme val="minor"/>
      </rPr>
      <t xml:space="preserve">Hoja metodológica de Porcentaje de municipios asesorados o asistidos en la inclusión del componente ambiental en los procesos de planificación y ordenamiento territorial, con énfasis en la incorporación de las determinantes ambientales para la revisión y ajuste de los POT (Versión 1.0). Ministerio de Ambiente y Desarrollo Sostenible </t>
    </r>
    <r>
      <rPr>
        <sz val="9"/>
        <color rgb="FF000000"/>
        <rFont val="Calibri"/>
        <family val="2"/>
        <scheme val="minor"/>
      </rPr>
      <t>MADS, DGOAT-SINA.</t>
    </r>
  </si>
  <si>
    <t>Es la relación entre el número de municipios asesorados o asistidos en temas relacionados con la inclusión del componente ambiental en los procesos de planificación y ordenamiento territorial, con énfasis en la incorporación de las determinantes ambientales para la revisión y ajuste de los POT, con respecto a la meta de municipios a ser asesorados en dicha incorporación.</t>
  </si>
  <si>
    <t>El indicador mide el cumplimiento de las metas establecidas, por parte de la Corporación Autónoma Regional, en relación con la asesoría a los municipios en la inclusión del componente ambiental en los procesos de planificación y ordenamiento territorial, con énfasis en la incorporación de las determinantes ambientales en la actualización o revisión de los planes de ordenamiento territorial. (Incluye POT, PBOT, EOT)</t>
  </si>
  <si>
    <t>Ley 99 de 1993, Ley Marco del Medio Ambiente. artículo 31, Numerales 4) , 5) y 29) en cuanto a funciones de las CAR (Coordinar el proceso de preparación de los planes, programas y proyectos de desarrollo medioambiental que deban formular los diferentes organismos y entidades integrantes del Sistema Nacional Ambiental (SINA) en el área de su jurisdicción y en especial, asesorar a los Departamentos, Distritos y Municipios de su comprensión territorial en la definición de los planes de desarrollo ambiental y en sus programas y proyectos en materia de protección del medio ambiente y los recursos naturales renovables, de manera que se asegure la armonía y coherencia de las políticas y acciones adoptadas por las distintas entidades territoriales; Participar con los demás organismos y entes competentes en el ámbito de su jurisdicción, en los procesos de planificación y ordenamiento territorial a fin de que el factor ambiental sea tenido en cuenta en las decisiones que se adopten; y Apoyar a los concejos municipales, a las asambleas departamentales y a los consejos de las entidades territoriales indígenas en las funciones de planificación que les otorga la Constitución Nacional).</t>
  </si>
  <si>
    <t>Ley 388 de 1997, Planes de Ordenamiento Territorial. Artículo 10, numeral 1) Determinantes de los planes de ordenamiento territorial. En la elaboración y adopción de sus planes de ordenamiento territorial los municipios y distritos deberán tener en cuenta las siguientes determinantes, que constituyen normas de superior jerarquía, en sus propios ámbitos de competencia, de acuerdo con la Constitución y las leyes: 1.) Las relacionadas con la conservación y protección del medio ambiente, los recursos naturales la prevención de amenazas y riesgos naturales; Artículo 24) Instancias de concertación y consulta. El alcalde distrital o municipal, a través de las oficinas de planeación o de la dependencia que haga sus veces, será responsable de coordinar la formulación oportuna del proyecto del plan de Ordenamiento Territorial, y de someterlo a consideración del Consejo de Gobierno. En todo caso, antes de la presentación del proyecto de plan de ordenamiento territorial a consideración del concejo distrital o municipal, se surtirán los trámites de concertación interinstitucional y consulta ciudadana.</t>
  </si>
  <si>
    <t>Ley 507 de 1999, Artículo 1, parágrafo 6. Parágrafo 6. El Proyecto de Plan de Ordenamiento Territorial (POT) se someterá a consideración de la Corporación Autónoma Regional o autoridad ambiental competente a efectos de que conjuntamente con el municipio y/o distrito concerten lo concerniente a los asuntos exclusivamente ambientales, dentro del ámbito de su competencia de acuerdo con lo dispuesto en la Ley 99 de 1993, para lo cual dispondrán, de treinta (30) días. En relación con los temas sobre los cuales no se logre la concertación, el Ministerio del Medio Ambiente intervendrá con el fin de decidir sobre los puntos de desacuerdo para lo cual dispondrá de un término máximo de treinta (30) días contados a partir del vencimiento del plazo anteriormente señalado en este parágrafo.</t>
  </si>
  <si>
    <t>Ley 1753 de 2015, Plan Nacional de Desarrollo, bases PND estrategia Territorial A y E</t>
  </si>
  <si>
    <t>Decreto 1076 de 2015, Decreto Único Reglamentario del Ambiente.</t>
  </si>
  <si>
    <t>De acuerdo con la Ley 99 de 1993, el objeto de las Corporaciones Autónomas Regionales y las de Desarrollo Sostenible, es la ejecución de políticas, planes, programas y proyectos sobre medio ambiente y recursos naturales renovables en lo relacionado con su administración, manejo y aprovechamiento. Así, las corporaciones son las encargadas de administrar, dentro del área de su jurisdicción, el medio ambiente y los recursos naturales renovables y propender por su desarrollo sostenible, de conformidad con las disposiciones legales y las políticas del Ministerio del Medio Ambiente. Esto significa que las CAR tienen un rol preponderante en la incorporación de los temas ambientales en los ejercicios de planificación y ordenamiento territorial de los municipios y distritos, principalmente, en los modelos de ocupación territorial por ellos propuestos. Para lo anterior, las CAR en conjunto con los organismos nacionales adscritos y vinculados al MADS y con las entidades técnicas y científicas del SINA, deben adelantar estudios e investigaciones, enfocadas al análisis territorial que le permita tomar decisiones y emprender las acciones pertinentes para identificar las determinantes ambientales de su jurisdicción.</t>
  </si>
  <si>
    <t>El factor ambiental es fundamental para asegurar el desarrollo sostenible y la resiliencia territorial de los ejercicios de planificación territorial de los municipios y distritos. Complementario a lo anterior, la Ley 388 de 1997 fijó los objetivos, principios y fines del ordenamiento territorial que rigen las actuaciones de las autoridades municipales y distritales para alcanzar el objeto del ordenamiento del territorio municipal o distrital, esto es, complementar la planificación económica y social con la dimensión territorial, racionalizar las intervenciones sobre el territorio y orientar su desarrollo y aprovechamiento sostenible en los términos de los artículos 1 º, 2 º, 3 º y 6 º de la mencionada ley.</t>
  </si>
  <si>
    <t>La ley 388 de 1997 en su artículo 10º establece los Determinantes ambientales, los constituyen un conjunto de directrices, orientaciones, conceptos y normas que permiten el adecuado reconocimiento del Componente Ambiental en los Planes, Planes Básicos y Esquemas de Ordenamiento Territorial, y su articulación con otros instrumentos de planificación y uso del territorio.</t>
  </si>
  <si>
    <t>La mencionada Ley plantea que en la elaboración y adopción de los planes de ordenamiento territorial los municipios y distritos deberán tener en cuenta, entre otros determinantes, los relacionadas con la conservación y protección del medio ambiente, los recursos naturales la prevención de amenazas y riesgos naturales.</t>
  </si>
  <si>
    <t>Las autoridades ambientales juegan un papel central como asesores técnicos para procurar la inclusión del componente ambiental en los procesos de planificación y ordenamiento de las entidades territoriales, en especial en lo relacionado con la incorporación de las determinantes ambientales en los instrumentos de planificación territorial de los municipios. Una asistencia técnica de las CAR a los municipios y distritos en este sentido, permite a la autoridad ambiental incidir favorablemente en las decisiones sobre aprovechamiento racional de recursos naturales renovables y en su inclusión como elementos estructurantes y articuladores del territorio municipal o distrital, buscando de esta forma garantizar que los procesos de desarrollo territorial sean ambientalmente sostenibles.</t>
  </si>
  <si>
    <t>Por acciones de asesoría y asistencia por parte de la Corporación Autónoma Regional, se entienden las siguientes acciones:</t>
  </si>
  <si>
    <r>
      <t>·</t>
    </r>
    <r>
      <rPr>
        <sz val="7"/>
        <color rgb="FF000000"/>
        <rFont val="Times New Roman"/>
        <family val="1"/>
      </rPr>
      <t xml:space="preserve">        </t>
    </r>
    <r>
      <rPr>
        <sz val="9"/>
        <color rgb="FF000000"/>
        <rFont val="Calibri"/>
        <family val="2"/>
      </rPr>
      <t>Realizar eventos de socialización y capacitación a los municipios y distritos en la inclusión del componente ambiental en los procesos de planificación y ordenamiento territorial, con énfasis en la incorporación de las determinantes ambientales para el ordenamiento territorial municipal.</t>
    </r>
  </si>
  <si>
    <r>
      <t>·</t>
    </r>
    <r>
      <rPr>
        <sz val="7"/>
        <color rgb="FF000000"/>
        <rFont val="Times New Roman"/>
        <family val="1"/>
      </rPr>
      <t xml:space="preserve">        </t>
    </r>
    <r>
      <rPr>
        <sz val="9"/>
        <color rgb="FF000000"/>
        <rFont val="Calibri"/>
        <family val="2"/>
      </rPr>
      <t>Socializar con los municipios de su jurisdicción la información derivada de sus sistemas de información, relacionado con el conocimiento del estado del ambiente a nivel regional y local.</t>
    </r>
  </si>
  <si>
    <r>
      <t>·</t>
    </r>
    <r>
      <rPr>
        <sz val="7"/>
        <color rgb="FF000000"/>
        <rFont val="Times New Roman"/>
        <family val="1"/>
      </rPr>
      <t xml:space="preserve">        </t>
    </r>
    <r>
      <rPr>
        <sz val="9"/>
        <color rgb="FF000000"/>
        <rFont val="Calibri"/>
        <family val="2"/>
      </rPr>
      <t>Capacitar a los municipios y Distritos en lo relacionado con el proceso de Concertación de los asuntos exclusivamente ambientales de los POT</t>
    </r>
    <r>
      <rPr>
        <sz val="12"/>
        <color rgb="FF000000"/>
        <rFont val="Calibri"/>
        <family val="2"/>
      </rPr>
      <t>.</t>
    </r>
  </si>
  <si>
    <t>Porcentaje de municipios asesorados o asistidos en la incorporación de los determinantes ambientales para la revisión y ajuste de los POT</t>
  </si>
  <si>
    <r>
      <t xml:space="preserve">PMAPOT </t>
    </r>
    <r>
      <rPr>
        <vertAlign val="subscript"/>
        <sz val="9"/>
        <color rgb="FF000000"/>
        <rFont val="Calibri"/>
        <family val="2"/>
        <scheme val="minor"/>
      </rPr>
      <t>t</t>
    </r>
    <r>
      <rPr>
        <sz val="9"/>
        <color rgb="FF000000"/>
        <rFont val="Calibri"/>
        <family val="2"/>
        <scheme val="minor"/>
      </rPr>
      <t xml:space="preserve"> = Porcentaje de municipios asesorados o asistidos asesorados o asistidos en la inclusión del componente ambiental en los procesos de planificación y ordenamiento territorial, con énfasis en la incorporación de las determinantes ambientales para la revisión y ajuste de los POT, en el tiempo t.</t>
    </r>
  </si>
  <si>
    <r>
      <t xml:space="preserve">MAPOT </t>
    </r>
    <r>
      <rPr>
        <vertAlign val="subscript"/>
        <sz val="9"/>
        <color rgb="FF000000"/>
        <rFont val="Calibri"/>
        <family val="2"/>
        <scheme val="minor"/>
      </rPr>
      <t>t</t>
    </r>
    <r>
      <rPr>
        <sz val="9"/>
        <color rgb="FF000000"/>
        <rFont val="Calibri"/>
        <family val="2"/>
        <scheme val="minor"/>
      </rPr>
      <t xml:space="preserve"> = Número de municipios asesorados en la inclusión del componente ambiental en los procesos de planificación y ordenamiento territorial, con énfasis en la incorporación de las determinantes ambientales para la revisión y ajuste de los POT, en el tiempo t.</t>
    </r>
  </si>
  <si>
    <r>
      <t xml:space="preserve">MMAPOT </t>
    </r>
    <r>
      <rPr>
        <vertAlign val="subscript"/>
        <sz val="9"/>
        <color rgb="FF000000"/>
        <rFont val="Calibri"/>
        <family val="2"/>
        <scheme val="minor"/>
      </rPr>
      <t>t</t>
    </r>
    <r>
      <rPr>
        <sz val="9"/>
        <color rgb="FF000000"/>
        <rFont val="Calibri"/>
        <family val="2"/>
        <scheme val="minor"/>
      </rPr>
      <t xml:space="preserve"> = Meta de municipios a ser asesorados en la inclusión del componente ambiental en los procesos de planificación y ordenamiento territorial, con énfasis en la incorporación de las determinantes ambientales para la revisión y ajuste de los POT, en el tiempo t.</t>
    </r>
  </si>
  <si>
    <t>AGUA</t>
  </si>
  <si>
    <t>Información de estaciones hidrometeorológicas</t>
  </si>
  <si>
    <t>Tipo de estación</t>
  </si>
  <si>
    <t>Automáticas</t>
  </si>
  <si>
    <t>Manuales</t>
  </si>
  <si>
    <t>Instaladas</t>
  </si>
  <si>
    <t>En operación</t>
  </si>
  <si>
    <t>Estaciones hidrometeorológicas</t>
  </si>
  <si>
    <t>Número total de estaciones hidrometeorológicas instaladas:</t>
  </si>
  <si>
    <t>Número total de estaciones hidrometeorológicas en operación:</t>
  </si>
  <si>
    <t>Porcentaje de estaciones hidrometeorológicas en operación:</t>
  </si>
  <si>
    <t>AIRE</t>
  </si>
  <si>
    <t>MONITOREO DE PM10</t>
  </si>
  <si>
    <t>Número de Sistemas de Vigilancia de Calidad del Aire:</t>
  </si>
  <si>
    <t>Número de estaciones de monitoreo del aire instaladas:</t>
  </si>
  <si>
    <t>Número de Sistemas de Vigilancia de Calidad del Aire acreditados:</t>
  </si>
  <si>
    <t>Información de estaciones de monitoreo de aire</t>
  </si>
  <si>
    <t>Número de red</t>
  </si>
  <si>
    <t>Estación</t>
  </si>
  <si>
    <t>Localización (Coordenada WGS84)</t>
  </si>
  <si>
    <t>Número de días con datos esperados al año</t>
  </si>
  <si>
    <t>Número de días con datos reportados al año</t>
  </si>
  <si>
    <t>Representatividad temporal igual o superior a 75%</t>
  </si>
  <si>
    <t>(E = D/ C). Si E≥75%, escriba 1; si no, escriba 0.</t>
  </si>
  <si>
    <t>Observaciones / comentarios</t>
  </si>
  <si>
    <t>Información de redes (Sistemas de Vigilancia de Calidad del Aire)</t>
  </si>
  <si>
    <t>Número / red</t>
  </si>
  <si>
    <t>BORRE O AGREGUE REDES</t>
  </si>
  <si>
    <t>Redes instaladas en la Corporación</t>
  </si>
  <si>
    <t>Número de estaciones en operación</t>
  </si>
  <si>
    <t xml:space="preserve">Número de estaciones con representatividad temporal igual o superior a 75%. </t>
  </si>
  <si>
    <t>J</t>
  </si>
  <si>
    <t>Redes con representatividad temporal a 75%</t>
  </si>
  <si>
    <t>J = I / H. Si J≥75%, escriba 1; si no, escriba 0.</t>
  </si>
  <si>
    <t>K</t>
  </si>
  <si>
    <t>Porcentaje de redes en operación (K = ΣJ / G)</t>
  </si>
  <si>
    <t>MONITOREO DE PM2,5</t>
  </si>
  <si>
    <t>Localización</t>
  </si>
  <si>
    <t>(E = D/ C) Si E≥75%, escriba 1; si no, escriba 0.</t>
  </si>
  <si>
    <t>Red3</t>
  </si>
  <si>
    <t>Número de estaciones con representatividad temporal igual o superior a 75%</t>
  </si>
  <si>
    <t>SUBTOTAL RECURSO AIRE</t>
  </si>
  <si>
    <t>L</t>
  </si>
  <si>
    <t>Porcentaje de redes en operación PM 10</t>
  </si>
  <si>
    <t>M</t>
  </si>
  <si>
    <t>Porcentaje de redes en operación PM 2,5</t>
  </si>
  <si>
    <t>Subtotal monitoreo aire: Porcentaje de redes de monitoreo del recurso aire en operación (N = Promedio (M, N)</t>
  </si>
  <si>
    <t>CALCULO FINAL DEL INDICADOR</t>
  </si>
  <si>
    <t>Porcentaje</t>
  </si>
  <si>
    <t>Porcentaje de estaciones hidrometeorológicas en operación</t>
  </si>
  <si>
    <t>Porcentaje de redes de monitoreo del recurso aire en operación</t>
  </si>
  <si>
    <t>Cuanto más cercano a cien por ciento, mayor es el cumplimiento de las metas que la autoridad ambiental se ha propuesto alcanzar en relación con la operación de redes y estaciones de monitoreo, en el marco del Plan de Acción de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</si>
  <si>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Porcentaje de redes y estaciones de monitoreo en operación (Versión 1.0).</t>
    </r>
    <r>
      <rPr>
        <sz val="9"/>
        <color rgb="FF000000"/>
        <rFont val="Calibri"/>
        <family val="2"/>
        <scheme val="minor"/>
      </rPr>
      <t xml:space="preserve"> Ministerio de Ambiente y Desarrollo Sostenible, DGOAT-SINA.</t>
    </r>
  </si>
  <si>
    <t>Es el número de redes y estaciones de monitoreo que están en operación y que cumplen con la representatividad de los datos en relación con el número de redes y estaciones de monitoreo instaladas de la Corporación.</t>
  </si>
  <si>
    <t>El indicador mide la gestión de la corporación para el mantenimiento de las redes de monitoreo, el cumplimiento de las metas que la autoridad ambiental se ha propuesto alcanzar en relación con la operación de redes y estaciones de monitoreo, que satisfacen la representatividad temporal de los datos y sigue los protocolos establecidos.</t>
  </si>
  <si>
    <t>SIRH: Decreto 1076 de 2015.</t>
  </si>
  <si>
    <t>SISAIRE: Resolución 601 de 2006, Resolución 650 de 2010, Resolución 651 de 2010, Resolución 760 de 2010, Resolución 2153 de 2010, Resolución 2154 de 2010.</t>
  </si>
  <si>
    <t>www.sisaire.gov.co</t>
  </si>
  <si>
    <t>www.sirh.ideam.gov.co</t>
  </si>
  <si>
    <t>La información sobre la cantidad y calidad de los recursos naturales y del ambiente es la herramienta necesaria para una planificación y administración adecuada de dichos recursos, que garantice su sostenibilidad ambiental.</t>
  </si>
  <si>
    <t>Por ello, el Decreto 1076 de 2015 crea el Sistema de Información del Recurso Hídrico - SIRH, como parte del Sistema de Información Ambiental para Colombia - SIAC, en lo relacionado con aguas superficiales, subterráneas, marinas y estuarinas. El Decreto 1076 determina como responsabilidad de las corporaciones autónomas regionales “realizar el monitoreo y seguimiento del recurso hídrico en el área de su jurisdicción, para lo cual deberán aplicar los protocolos y estándares establecidos en el SIRH”. Por su parte, los titulares de licencias, permisos y concesiones están obligados a recopilar y a suministrar sin costo alguno la información sobre la utilización del mismo a las autoridades ambientales competentes.</t>
  </si>
  <si>
    <t>Adicionalmente, el Decreto 1076 de 2015, establece que las autoridades ambientales deberán realizar el Registro de Usuarios del Recurso Hídrico de manera gradual en las cuencas hidrográficas priorizadas en su jurisdicción.</t>
  </si>
  <si>
    <t>Por otra parte, la Resolución 651 de 2010 crea el Subsistema de Información sobre Calidad del Aire – Sisaire, como parte del Sistema de Información Ambiental para Colombia, SIAC, en lo referente a la información para el diseño, evaluación y ajuste de la política y las estrategias para la prevención y control de la contaminación del aire. La resolución estipula que las corporaciones autónomas regionales que operen Sistemas de Vigilancia de la Calidad del Aire (SVCA) deben realizar el reporte de la información de calidad del aire a nivel de inmisión. Las autoridades ambientales tienen la obligación de reportar al Sisaire la información de calidad del aire, meteorológica y de ruido.</t>
  </si>
  <si>
    <r>
      <t xml:space="preserve">PREMO </t>
    </r>
    <r>
      <rPr>
        <vertAlign val="subscript"/>
        <sz val="9"/>
        <color rgb="FF000000"/>
        <rFont val="Calibri"/>
        <family val="2"/>
        <scheme val="minor"/>
      </rPr>
      <t>t</t>
    </r>
    <r>
      <rPr>
        <sz val="9"/>
        <color rgb="FF000000"/>
        <rFont val="Calibri"/>
        <family val="2"/>
        <scheme val="minor"/>
      </rPr>
      <t xml:space="preserve"> = Porcentaje de redes y estaciones de monitoreo en operación, en el tiempo t.</t>
    </r>
  </si>
  <si>
    <r>
      <t xml:space="preserve">PREMOAG </t>
    </r>
    <r>
      <rPr>
        <vertAlign val="subscript"/>
        <sz val="9"/>
        <color rgb="FF000000"/>
        <rFont val="Calibri"/>
        <family val="2"/>
        <scheme val="minor"/>
      </rPr>
      <t>t</t>
    </r>
    <r>
      <rPr>
        <sz val="9"/>
        <color rgb="FF000000"/>
        <rFont val="Calibri"/>
        <family val="2"/>
        <scheme val="minor"/>
      </rPr>
      <t xml:space="preserve"> = Porcentaje de estaciones de monitoreo de calidad del agua en operación, en el tiempo t.</t>
    </r>
  </si>
  <si>
    <r>
      <t xml:space="preserve">PREMOAR </t>
    </r>
    <r>
      <rPr>
        <vertAlign val="subscript"/>
        <sz val="9"/>
        <color rgb="FF000000"/>
        <rFont val="Calibri"/>
        <family val="2"/>
        <scheme val="minor"/>
      </rPr>
      <t>t</t>
    </r>
    <r>
      <rPr>
        <sz val="9"/>
        <color rgb="FF000000"/>
        <rFont val="Calibri"/>
        <family val="2"/>
        <scheme val="minor"/>
      </rPr>
      <t xml:space="preserve"> = Porcentaje de redes y estaciones de monitoreo de calidad del aire en operación, en el tiempo t.</t>
    </r>
  </si>
  <si>
    <r>
      <t xml:space="preserve">PREMOO </t>
    </r>
    <r>
      <rPr>
        <vertAlign val="subscript"/>
        <sz val="9"/>
        <color rgb="FF000000"/>
        <rFont val="Calibri"/>
        <family val="2"/>
        <scheme val="minor"/>
      </rPr>
      <t>t</t>
    </r>
    <r>
      <rPr>
        <sz val="9"/>
        <color rgb="FF000000"/>
        <rFont val="Calibri"/>
        <family val="2"/>
        <scheme val="minor"/>
      </rPr>
      <t xml:space="preserve"> = Porcentaje de otras redes y estaciones de monitoreo en operación, en el tiempo t.</t>
    </r>
  </si>
  <si>
    <r>
      <t xml:space="preserve">a = ponderador de PREMOAG </t>
    </r>
    <r>
      <rPr>
        <vertAlign val="subscript"/>
        <sz val="9"/>
        <color rgb="FF000000"/>
        <rFont val="Calibri"/>
        <family val="2"/>
        <scheme val="minor"/>
      </rPr>
      <t>t</t>
    </r>
  </si>
  <si>
    <r>
      <t xml:space="preserve">b = ponderador de PREMOAR </t>
    </r>
    <r>
      <rPr>
        <vertAlign val="subscript"/>
        <sz val="9"/>
        <color rgb="FF000000"/>
        <rFont val="Calibri"/>
        <family val="2"/>
        <scheme val="minor"/>
      </rPr>
      <t>t</t>
    </r>
  </si>
  <si>
    <r>
      <t xml:space="preserve">c = ponderador de PREMOO </t>
    </r>
    <r>
      <rPr>
        <vertAlign val="subscript"/>
        <sz val="9"/>
        <color rgb="FF000000"/>
        <rFont val="Calibri"/>
        <family val="2"/>
        <scheme val="minor"/>
      </rPr>
      <t>t</t>
    </r>
  </si>
  <si>
    <t>Nota: los ponderadores serán definidos por cada CAR teniendo en cuenta la proporción de redes y estaciones de monitoreo a cargo de la autoridad ambiental regional.</t>
  </si>
  <si>
    <t>Porcentaje de actualización y reporte de la información al SIAC</t>
  </si>
  <si>
    <t>Información reportada por las CAR:</t>
  </si>
  <si>
    <t>Subsistema</t>
  </si>
  <si>
    <t>SIRH</t>
  </si>
  <si>
    <t>SISAIRE</t>
  </si>
  <si>
    <t>SNIF</t>
  </si>
  <si>
    <t>Número de registros reportados en el año (RRS)</t>
  </si>
  <si>
    <t>Número de registros esperados reportados en el año (RES)</t>
  </si>
  <si>
    <t>Porcentaje de actualización y reporte por subsistema (C = B / A) (PARS)</t>
  </si>
  <si>
    <t>Porcentaje de actualización y reporte de la información por cada subsistema (información validada)</t>
  </si>
  <si>
    <t>RESPEL</t>
  </si>
  <si>
    <t>SIUR (RUA)</t>
  </si>
  <si>
    <t>Número de registros validados al año (RVS)</t>
  </si>
  <si>
    <t>Número de registros totales a ser validados por la Corporación (RTVS)</t>
  </si>
  <si>
    <t>Porcentaje de información validada por la Corporación (PARSIV ) (C = B / A)</t>
  </si>
  <si>
    <t>Porcentaje de actualización y reporte de la información al SIAC (Promedio)</t>
  </si>
  <si>
    <t>Cuanto más cercano a cien por ciento, mayor es el cumplimiento de los requerimientos de reporte por parte de las Corporaciones Autónomas Regionales a los diferentes subsistemas del SIAC.</t>
  </si>
  <si>
    <t>Se pueden presentar situaciones de orden operativo, político y social que pueden afectar la ejecución de los presupuestos y el cumplimiento de los cronogramas definidos en el Plan de Acción de la Corporación. Pueden existir limitaciones de la información disponible para el cálculo de los indicadores.</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</si>
  <si>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actualización y reporte de la información en el SIAC (Versión 1.0).</t>
    </r>
    <r>
      <rPr>
        <sz val="9"/>
        <color rgb="FF000000"/>
        <rFont val="Calibri"/>
        <family val="2"/>
        <scheme val="minor"/>
      </rPr>
      <t xml:space="preserve"> Ministerio de Ambiente y Desarrollo Sostenible, DGOAT-SINA.</t>
    </r>
  </si>
  <si>
    <t>Es la relación entre el número de registros que la Corporación migra a los diferentes subsistemas del SIAC y el número de registros esperados reportados en dichos subsistemas.</t>
  </si>
  <si>
    <t>El indicador mide el cumplimiento de los requerimientos de reporte por parte de las Corporaciones Autónomas Regionales a los diferentes subsistemas del SIAC.</t>
  </si>
  <si>
    <t>SIUR, RUA Manufacturero: Resolución 1023 de 2010.</t>
  </si>
  <si>
    <t>RESPEL: Resolución 1362 de 2007.</t>
  </si>
  <si>
    <t>Documentación de soporte:</t>
  </si>
  <si>
    <t>Protocolo para la utilización y reporte de información para las diferentes redes de monitoreo de calidad del aire en Colombia. Protocolo para el monitoreo y seguimiento del agua.</t>
  </si>
  <si>
    <t>100% de los registros esperados reportados en el SIAC</t>
  </si>
  <si>
    <t>El Sistema de Información Ambiental de Colombia SIAC se define como el “conjunto integrado de actores, políticas, procesos, y tecnologías involucrados en la gestión de información ambiental del país, para facilitar la generación de conocimiento, la toma de decisiones, la educación y la participación social para el desarrollo sostenible”.</t>
  </si>
  <si>
    <t>La información sobre la cantidad y calidad de los recursos naturales y del ambiente es la herramienta necesaria para una planificación y administración adecuada de dichos recursos, que garantice su sostenibilidad ambiental. En tal sentido, el SIAC ha desarrollado, entre otros subsistemas, el Sistema de Información del Recurso Hídrico – SIRH, el Sistema de información sobre Calidad de Aire – SISAIRE (IDEAM), el Sistema Nacional de Información Forestal – SNIF y el Sistema de Información sobre Uso de Recursos Naturales – SIUR. Como parte del SIUR, se dispone del Registro Único Ambiental RUA para diferentes sectores, entre otros, el manufacturero.</t>
  </si>
  <si>
    <t>En efecto, el Decreto 1076 de 2015 crea el Sistema de Información del Recurso Hídrico, SIRH, como parte del Sistema de Información Ambiental para Colombia, SIAC, en lo relacionado con aguas superficiales, subterráneas, marinas y estuarinas. El Artículo 2.2.3.5.1.9 de dicho Decreto determina como responsabilidad de las corporaciones autónomas regionales “realizar el monitoreo y seguimiento del recurso hídrico en el área de su jurisdicción, para lo cual deberán aplicar los protocolos y estándares establecidos en el SIRH”. Por su parte, los titulares de licencias, permisos y concesiones están obligados a recopilar y a suministrar sin costo alguno la información sobre la utilización del mismo a las autoridades ambientales competentes (Artículo 2.2.3.5.1.10).</t>
  </si>
  <si>
    <t>Adicionalmente, el Decreto 1076 de 2015, art. 2.2.3.4.1.1. establece que las autoridades ambientales deberán realizar el Registro de Usuarios del Recurso Hídrico de manera gradual en las cuencas hidrográficas priorizadas en su jurisdicción.</t>
  </si>
  <si>
    <t>El Sistema Nacional de Información Forestal- SNIF constituye la herramienta informática para el montaje y operación del Sistema de Información del Programa de Monitoreo de Bosques. Propende por la captura, análisis, procesamiento y difusión de la información sobre aprovechamientos de productos forestales, maderables y no maderables, movilizaciones de productos forestales maderables y no maderables, decomisos forestales, plantaciones forestales productoras y protectoras, remisiones de madera de plantaciones forestales e incendios de la cobertura vegetal.</t>
  </si>
  <si>
    <t>La Resolución 1362 de 2007 establecen los requisitos y el procedimiento para el Registro de Generadores de Residuos o Desechos Peligrosos, y la Directiva Ministerial 8000-2-25332 de 2015, por su parte, recuerda a las Corporaciones a reportar y mantener actualizada la información sobre residuos peligrosos en el marco del SIAC, en cumplimiento de la Política Ambiental para la Gestión Integral de Residuos Peligrosos.</t>
  </si>
  <si>
    <r>
      <t xml:space="preserve">PARSIAC </t>
    </r>
    <r>
      <rPr>
        <vertAlign val="subscript"/>
        <sz val="9"/>
        <color rgb="FF000000"/>
        <rFont val="Calibri"/>
        <family val="2"/>
        <scheme val="minor"/>
      </rPr>
      <t>t</t>
    </r>
    <r>
      <rPr>
        <sz val="9"/>
        <color rgb="FF000000"/>
        <rFont val="Calibri"/>
        <family val="2"/>
        <scheme val="minor"/>
      </rPr>
      <t xml:space="preserve"> = Porcentaje de actualización y reporte de la información al SIAC, en el tiempo t.</t>
    </r>
  </si>
  <si>
    <r>
      <t xml:space="preserve">PARS </t>
    </r>
    <r>
      <rPr>
        <vertAlign val="subscript"/>
        <sz val="9"/>
        <color rgb="FF000000"/>
        <rFont val="Calibri"/>
        <family val="2"/>
        <scheme val="minor"/>
      </rPr>
      <t>i</t>
    </r>
    <r>
      <rPr>
        <sz val="9"/>
        <color rgb="FF000000"/>
        <rFont val="Calibri"/>
        <family val="2"/>
        <scheme val="minor"/>
      </rPr>
      <t xml:space="preserve"> = Porcentaje de actualización y reporte de la información al Subsistema </t>
    </r>
    <r>
      <rPr>
        <i/>
        <sz val="9"/>
        <color rgb="FF000000"/>
        <rFont val="Calibri"/>
        <family val="2"/>
        <scheme val="minor"/>
      </rPr>
      <t>i</t>
    </r>
    <r>
      <rPr>
        <sz val="9"/>
        <color rgb="FF000000"/>
        <rFont val="Calibri"/>
        <family val="2"/>
        <scheme val="minor"/>
      </rPr>
      <t xml:space="preserve"> del SIAC, en el tiempo t</t>
    </r>
  </si>
  <si>
    <t>i = SIRH, SISAIRE, SNIF, RESPEL.</t>
  </si>
  <si>
    <r>
      <t>a</t>
    </r>
    <r>
      <rPr>
        <vertAlign val="subscript"/>
        <sz val="9"/>
        <color rgb="FF000000"/>
        <rFont val="Calibri"/>
        <family val="2"/>
        <scheme val="minor"/>
      </rPr>
      <t xml:space="preserve">i = </t>
    </r>
    <r>
      <rPr>
        <sz val="9"/>
        <color rgb="FF000000"/>
        <rFont val="Calibri"/>
        <family val="2"/>
        <scheme val="minor"/>
      </rPr>
      <t>Ponderación correspondiente a cada subsistema del SIAC (SIRH, SISAIRE, SNIF, RESPEL, SIUR). La suma de los ponderadores es igual a 1.</t>
    </r>
  </si>
  <si>
    <t>Nota: los ponderadores para cada subsistema son establecidos por cada Corporación con base en los registros esperados o estimados por cada subsistema.</t>
  </si>
  <si>
    <t>En términos generales, el porcentaje de actualización y reporte de la información por cada subsistema se calcula de la siguiente manera:</t>
  </si>
  <si>
    <t>Porcentaje de actualización y reporte de la información por cada subsistema</t>
  </si>
  <si>
    <r>
      <t xml:space="preserve">PARS </t>
    </r>
    <r>
      <rPr>
        <vertAlign val="subscript"/>
        <sz val="9"/>
        <color rgb="FF000000"/>
        <rFont val="Calibri"/>
        <family val="2"/>
        <scheme val="minor"/>
      </rPr>
      <t>it</t>
    </r>
    <r>
      <rPr>
        <sz val="9"/>
        <color rgb="FF000000"/>
        <rFont val="Calibri"/>
        <family val="2"/>
        <scheme val="minor"/>
      </rPr>
      <t xml:space="preserve"> = Porcentaje de actualización y reporte de la información al Subsistema </t>
    </r>
    <r>
      <rPr>
        <i/>
        <sz val="9"/>
        <color rgb="FF000000"/>
        <rFont val="Calibri"/>
        <family val="2"/>
        <scheme val="minor"/>
      </rPr>
      <t>i</t>
    </r>
    <r>
      <rPr>
        <sz val="9"/>
        <color rgb="FF000000"/>
        <rFont val="Calibri"/>
        <family val="2"/>
        <scheme val="minor"/>
      </rPr>
      <t xml:space="preserve"> del SIAC, en el tiempo t.</t>
    </r>
  </si>
  <si>
    <r>
      <t xml:space="preserve">RRS </t>
    </r>
    <r>
      <rPr>
        <vertAlign val="subscript"/>
        <sz val="9"/>
        <color rgb="FF000000"/>
        <rFont val="Calibri"/>
        <family val="2"/>
        <scheme val="minor"/>
      </rPr>
      <t>it</t>
    </r>
    <r>
      <rPr>
        <sz val="9"/>
        <color rgb="FF000000"/>
        <rFont val="Calibri"/>
        <family val="2"/>
        <scheme val="minor"/>
      </rPr>
      <t xml:space="preserve"> = Número de registros reportados en el subsistema </t>
    </r>
    <r>
      <rPr>
        <i/>
        <sz val="9"/>
        <color rgb="FF000000"/>
        <rFont val="Calibri"/>
        <family val="2"/>
        <scheme val="minor"/>
      </rPr>
      <t>i</t>
    </r>
    <r>
      <rPr>
        <sz val="9"/>
        <color rgb="FF000000"/>
        <rFont val="Calibri"/>
        <family val="2"/>
        <scheme val="minor"/>
      </rPr>
      <t xml:space="preserve"> del SIAC, en el tiempo t.</t>
    </r>
  </si>
  <si>
    <r>
      <t xml:space="preserve">RES </t>
    </r>
    <r>
      <rPr>
        <vertAlign val="subscript"/>
        <sz val="9"/>
        <color rgb="FF000000"/>
        <rFont val="Calibri"/>
        <family val="2"/>
        <scheme val="minor"/>
      </rPr>
      <t>it</t>
    </r>
    <r>
      <rPr>
        <sz val="9"/>
        <color rgb="FF000000"/>
        <rFont val="Calibri"/>
        <family val="2"/>
        <scheme val="minor"/>
      </rPr>
      <t xml:space="preserve"> = Número de registros esperados reportados en el subsistema </t>
    </r>
    <r>
      <rPr>
        <i/>
        <sz val="9"/>
        <color rgb="FF000000"/>
        <rFont val="Calibri"/>
        <family val="2"/>
        <scheme val="minor"/>
      </rPr>
      <t>i</t>
    </r>
    <r>
      <rPr>
        <sz val="9"/>
        <color rgb="FF000000"/>
        <rFont val="Calibri"/>
        <family val="2"/>
        <scheme val="minor"/>
      </rPr>
      <t xml:space="preserve"> del SIAC, en el tiempo t.</t>
    </r>
  </si>
  <si>
    <r>
      <t>i</t>
    </r>
    <r>
      <rPr>
        <sz val="9"/>
        <color rgb="FF000000"/>
        <rFont val="Calibri"/>
        <family val="2"/>
        <scheme val="minor"/>
      </rPr>
      <t xml:space="preserve"> = SIRH, SISAIRE, SNIF</t>
    </r>
  </si>
  <si>
    <t>Para el caso de la información validada por parte de las corporaciones autónomas regionales, el porcentaje de actualización y reporte de la información por cada subsistema se calcula de la siguiente manera:</t>
  </si>
  <si>
    <r>
      <t xml:space="preserve">PARSIV </t>
    </r>
    <r>
      <rPr>
        <vertAlign val="subscript"/>
        <sz val="9"/>
        <color rgb="FF000000"/>
        <rFont val="Calibri"/>
        <family val="2"/>
        <scheme val="minor"/>
      </rPr>
      <t>it</t>
    </r>
    <r>
      <rPr>
        <sz val="9"/>
        <color rgb="FF000000"/>
        <rFont val="Calibri"/>
        <family val="2"/>
        <scheme val="minor"/>
      </rPr>
      <t xml:space="preserve"> = Porcentaje de actualización y reporte de la información por cada subsistema (información validada), en el tiempo t.</t>
    </r>
  </si>
  <si>
    <r>
      <t xml:space="preserve">RVS </t>
    </r>
    <r>
      <rPr>
        <vertAlign val="subscript"/>
        <sz val="9"/>
        <color rgb="FF000000"/>
        <rFont val="Calibri"/>
        <family val="2"/>
        <scheme val="minor"/>
      </rPr>
      <t>it</t>
    </r>
    <r>
      <rPr>
        <sz val="9"/>
        <color rgb="FF000000"/>
        <rFont val="Calibri"/>
        <family val="2"/>
        <scheme val="minor"/>
      </rPr>
      <t xml:space="preserve"> = Número de registros validados en el Subsistema </t>
    </r>
    <r>
      <rPr>
        <i/>
        <sz val="9"/>
        <color rgb="FF000000"/>
        <rFont val="Calibri"/>
        <family val="2"/>
        <scheme val="minor"/>
      </rPr>
      <t>i</t>
    </r>
    <r>
      <rPr>
        <sz val="9"/>
        <color rgb="FF000000"/>
        <rFont val="Calibri"/>
        <family val="2"/>
        <scheme val="minor"/>
      </rPr>
      <t xml:space="preserve"> del SIAC relacionados con las funciones en gestión de información de la Corporación, en el tiempo t.</t>
    </r>
  </si>
  <si>
    <r>
      <t xml:space="preserve">RTVS </t>
    </r>
    <r>
      <rPr>
        <vertAlign val="subscript"/>
        <sz val="9"/>
        <color rgb="FF000000"/>
        <rFont val="Calibri"/>
        <family val="2"/>
        <scheme val="minor"/>
      </rPr>
      <t>it</t>
    </r>
    <r>
      <rPr>
        <sz val="9"/>
        <color rgb="FF000000"/>
        <rFont val="Calibri"/>
        <family val="2"/>
        <scheme val="minor"/>
      </rPr>
      <t xml:space="preserve"> = Número de registros totales a ser validados por la Corporación en el Subsistema </t>
    </r>
    <r>
      <rPr>
        <i/>
        <sz val="9"/>
        <color rgb="FF000000"/>
        <rFont val="Calibri"/>
        <family val="2"/>
        <scheme val="minor"/>
      </rPr>
      <t>i</t>
    </r>
    <r>
      <rPr>
        <sz val="9"/>
        <color rgb="FF000000"/>
        <rFont val="Calibri"/>
        <family val="2"/>
        <scheme val="minor"/>
      </rPr>
      <t xml:space="preserve"> del SIAC, en el tiempo t.</t>
    </r>
  </si>
  <si>
    <t>i = SIRH, SISAIRE, SNIF, RESPEL, SIUR (RUA).</t>
  </si>
  <si>
    <t>Número de acciones relacionadas con Educación Ambiental</t>
  </si>
  <si>
    <t>Ejecución física y financiera de acciones relacionadas con la Educación Ambiental</t>
  </si>
  <si>
    <t>Cálculo de la ejecución física y financiera de acciones relacionadas con la Educación Ambiental</t>
  </si>
  <si>
    <t>Ejecución Anual (%)</t>
  </si>
  <si>
    <t>Cuanto más cercano a cien por ciento, mayor es el cumplimiento de las metas relacionadas con la Educación Ambiental, en el marco del Plan de Acción de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</si>
  <si>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Ejecución de Acciones en Educación Ambiental (Versión 1.0).</t>
    </r>
    <r>
      <rPr>
        <sz val="9"/>
        <color rgb="FF000000"/>
        <rFont val="Calibri"/>
        <family val="2"/>
        <scheme val="minor"/>
      </rPr>
      <t xml:space="preserve"> Ministerio de Ambiente y Desarrollo Sostenible MADS, DGOAT-SINA.</t>
    </r>
  </si>
  <si>
    <t>Es el porcentaje de avance en la implementación, por parte de la corporación autónoma regional, de las acciones relacionadas con la Educación Ambiental en el marco del Plan de Acción.</t>
  </si>
  <si>
    <t>El indicador mide el cumplimiento de las metas relacionadas con la educación ambiental, en el marco del Plan de Acción de la Corporación. De esta manera, contribuye a la implementación de Política de Educación Ambiental a nivel regional.</t>
  </si>
  <si>
    <t>Ley 1549 de 2012, Educación Ambiental</t>
  </si>
  <si>
    <t>Política Nacional de Educación Ambiental</t>
  </si>
  <si>
    <t>La Ley 1549 de 2012 define la Educación Ambiental como “un proceso dinámico y participativo, orientado a la formación de personas críticas y reflexivas, con capacidades para comprender las problemáticas ambientales de sus contextos (locales, regionales y nacionales)”.</t>
  </si>
  <si>
    <t>La mencionada Ley, en su artículo 5º., establece como una “responsabilidad de las entidades territoriales y de las Corporaciones Autónomas Regionales y de Desarrollo Sostenible: a) Desarrollar instrumentos técnico-políticos, que contextualicen la política y la adecúen a las necesidades de construcción de una cultura ambiental para el desarrollo sostenible; b) Promover la creación de estrategias económicas, fondos u otros mecanismos de cooperación, que permitan viabilizar la instalación efectiva del tema en el territorio, y c) Generar y apoyar mecanismos para el cumplimiento, seguimiento y control, de las acciones que se implementen en este marco político”.</t>
  </si>
  <si>
    <t>Adicionalmente, el artículo 9º. estipula que todos los sectores e instituciones que conforman el Sistema Nacional Ambiental (SINA), deben participar técnica y financieramente, en: a) el acompañamiento e implementación de los PRAE, de los Proyectos Ciudadanos y Comunitarios de Educación Ambiental (Proceda), y de los Comités Técnicos Interinstitucionales de Educación Ambiental (Cidea); estos últimos, concebidos como mecanismos de apoyo a la articulación e institucionalización del tema y de cualificación de la gestión ambiental del territorio, y b) En la puesta en marcha de las demás estrategias de esta política, en el marco de los propósitos de construcción de un proyecto de sociedad ambientalmente sostenible.</t>
  </si>
  <si>
    <t>El Artículo 2.2.8.6.1.3 del Decreto 1076 de 2015 establece que “las Corporaciones promoverán en los municipios y distritos, programas de educación ambiental y de planificación, acorde con la Constitución, la Ley 99 de 1993, la Ley 152 de 1994 y las normas que las complementen o adicione”.</t>
  </si>
  <si>
    <t>Las principales acciones relacionadas con la Educación Ambiental son las siguientes:</t>
  </si>
  <si>
    <r>
      <t>a)</t>
    </r>
    <r>
      <rPr>
        <sz val="7"/>
        <color rgb="FF000000"/>
        <rFont val="Times New Roman"/>
        <family val="1"/>
      </rPr>
      <t xml:space="preserve">      </t>
    </r>
    <r>
      <rPr>
        <sz val="9"/>
        <color rgb="FF000000"/>
        <rFont val="Calibri"/>
        <family val="2"/>
        <scheme val="minor"/>
      </rPr>
      <t>Participación en los Comités Técnicos Interinstitucionales de Educación Ambiental (Cidea).</t>
    </r>
  </si>
  <si>
    <r>
      <t>b)</t>
    </r>
    <r>
      <rPr>
        <sz val="7"/>
        <color rgb="FF000000"/>
        <rFont val="Times New Roman"/>
        <family val="1"/>
      </rPr>
      <t xml:space="preserve">      </t>
    </r>
    <r>
      <rPr>
        <sz val="9"/>
        <color rgb="FF000000"/>
        <rFont val="Calibri"/>
        <family val="2"/>
        <scheme val="minor"/>
      </rPr>
      <t>Suscripción de acuerdos o alianzas para la implementación de estrategias de educación ambiental.</t>
    </r>
  </si>
  <si>
    <r>
      <t>c)</t>
    </r>
    <r>
      <rPr>
        <sz val="7"/>
        <color rgb="FF000000"/>
        <rFont val="Times New Roman"/>
        <family val="1"/>
      </rPr>
      <t xml:space="preserve">       </t>
    </r>
    <r>
      <rPr>
        <sz val="9"/>
        <color rgb="FF000000"/>
        <rFont val="Calibri"/>
        <family val="2"/>
        <scheme val="minor"/>
      </rPr>
      <t>Acompañamiento e implementación de los PRAE.</t>
    </r>
  </si>
  <si>
    <r>
      <t>d)</t>
    </r>
    <r>
      <rPr>
        <sz val="7"/>
        <color rgb="FF000000"/>
        <rFont val="Times New Roman"/>
        <family val="1"/>
      </rPr>
      <t xml:space="preserve">      </t>
    </r>
    <r>
      <rPr>
        <sz val="9"/>
        <color rgb="FF000000"/>
        <rFont val="Calibri"/>
        <family val="2"/>
        <scheme val="minor"/>
      </rPr>
      <t>Acompañamiento de los Proyectos Ciudadanos y Comunitarios de Educación Ambiental (Proceda).</t>
    </r>
  </si>
  <si>
    <r>
      <t>e)</t>
    </r>
    <r>
      <rPr>
        <sz val="7"/>
        <color rgb="FF000000"/>
        <rFont val="Times New Roman"/>
        <family val="1"/>
      </rPr>
      <t xml:space="preserve">      </t>
    </r>
    <r>
      <rPr>
        <sz val="9"/>
        <color rgb="FF000000"/>
        <rFont val="Calibri"/>
        <family val="2"/>
        <scheme val="minor"/>
      </rPr>
      <t>Acciones específicas de educación ambiental a cargo de las autoridades ambientales regionales.</t>
    </r>
  </si>
  <si>
    <t>El listado anterior es indicativo. Las acciones a ser realizadas por las Corporaciones deben corresponder a las competencias otorgadas por la normatividad y en el marco de sus funciones misionales.</t>
  </si>
  <si>
    <t>Ejecución de acciones relacionadas con la Educación Ambiental</t>
  </si>
  <si>
    <r>
      <t xml:space="preserve">ETAEA </t>
    </r>
    <r>
      <rPr>
        <vertAlign val="subscript"/>
        <sz val="9"/>
        <color rgb="FF000000"/>
        <rFont val="Calibri"/>
        <family val="2"/>
        <scheme val="minor"/>
      </rPr>
      <t>t</t>
    </r>
    <r>
      <rPr>
        <sz val="9"/>
        <color rgb="FF000000"/>
        <rFont val="Calibri"/>
        <family val="2"/>
        <scheme val="minor"/>
      </rPr>
      <t xml:space="preserve"> = Ejecución total de acciones en Educación Ambiental, en el tiempo t.</t>
    </r>
  </si>
  <si>
    <r>
      <t xml:space="preserve">EAEA </t>
    </r>
    <r>
      <rPr>
        <vertAlign val="subscript"/>
        <sz val="9"/>
        <color rgb="FF000000"/>
        <rFont val="Calibri"/>
        <family val="2"/>
        <scheme val="minor"/>
      </rPr>
      <t>1t</t>
    </r>
    <r>
      <rPr>
        <sz val="9"/>
        <color rgb="FF000000"/>
        <rFont val="Calibri"/>
        <family val="2"/>
        <scheme val="minor"/>
      </rPr>
      <t xml:space="preserve"> = Ejecución de acción </t>
    </r>
    <r>
      <rPr>
        <i/>
        <sz val="9"/>
        <color rgb="FF000000"/>
        <rFont val="Calibri"/>
        <family val="2"/>
        <scheme val="minor"/>
      </rPr>
      <t>1</t>
    </r>
    <r>
      <rPr>
        <sz val="9"/>
        <color rgb="FF000000"/>
        <rFont val="Calibri"/>
        <family val="2"/>
        <scheme val="minor"/>
      </rPr>
      <t xml:space="preserve"> relacionada con la Educación Ambiental, en el tiempo t.</t>
    </r>
  </si>
  <si>
    <r>
      <t xml:space="preserve">EAEA </t>
    </r>
    <r>
      <rPr>
        <vertAlign val="subscript"/>
        <sz val="9"/>
        <color rgb="FF000000"/>
        <rFont val="Calibri"/>
        <family val="2"/>
        <scheme val="minor"/>
      </rPr>
      <t>2t</t>
    </r>
    <r>
      <rPr>
        <sz val="9"/>
        <color rgb="FF000000"/>
        <rFont val="Calibri"/>
        <family val="2"/>
        <scheme val="minor"/>
      </rPr>
      <t xml:space="preserve"> = Ejecución de acción </t>
    </r>
    <r>
      <rPr>
        <i/>
        <sz val="9"/>
        <color rgb="FF000000"/>
        <rFont val="Calibri"/>
        <family val="2"/>
        <scheme val="minor"/>
      </rPr>
      <t>2</t>
    </r>
    <r>
      <rPr>
        <sz val="9"/>
        <color rgb="FF000000"/>
        <rFont val="Calibri"/>
        <family val="2"/>
        <scheme val="minor"/>
      </rPr>
      <t xml:space="preserve"> relacionada con la Educación Ambiental, en el tiempo t.</t>
    </r>
  </si>
  <si>
    <r>
      <t xml:space="preserve">EAEU </t>
    </r>
    <r>
      <rPr>
        <vertAlign val="subscript"/>
        <sz val="9"/>
        <color rgb="FF000000"/>
        <rFont val="Calibri"/>
        <family val="2"/>
        <scheme val="minor"/>
      </rPr>
      <t>nt</t>
    </r>
    <r>
      <rPr>
        <sz val="9"/>
        <color rgb="FF000000"/>
        <rFont val="Calibri"/>
        <family val="2"/>
        <scheme val="minor"/>
      </rPr>
      <t xml:space="preserve"> = Ejecución de acción </t>
    </r>
    <r>
      <rPr>
        <i/>
        <sz val="9"/>
        <color rgb="FF000000"/>
        <rFont val="Calibri"/>
        <family val="2"/>
        <scheme val="minor"/>
      </rPr>
      <t>n</t>
    </r>
    <r>
      <rPr>
        <sz val="9"/>
        <color rgb="FF000000"/>
        <rFont val="Calibri"/>
        <family val="2"/>
        <scheme val="minor"/>
      </rPr>
      <t xml:space="preserve"> relacionada con la Educación Ambiental, en el tiempo t.</t>
    </r>
  </si>
  <si>
    <r>
      <t>a = ponderador de EAEA</t>
    </r>
    <r>
      <rPr>
        <vertAlign val="subscript"/>
        <sz val="9"/>
        <color rgb="FF000000"/>
        <rFont val="Calibri"/>
        <family val="2"/>
        <scheme val="minor"/>
      </rPr>
      <t>1</t>
    </r>
  </si>
  <si>
    <r>
      <t>b = ponderador de EAEA</t>
    </r>
    <r>
      <rPr>
        <vertAlign val="subscript"/>
        <sz val="9"/>
        <color rgb="FF000000"/>
        <rFont val="Calibri"/>
        <family val="2"/>
        <scheme val="minor"/>
      </rPr>
      <t>2</t>
    </r>
  </si>
  <si>
    <r>
      <t>z = ponderador de EAEA</t>
    </r>
    <r>
      <rPr>
        <vertAlign val="subscript"/>
        <sz val="9"/>
        <color rgb="FF000000"/>
        <rFont val="Calibri"/>
        <family val="2"/>
        <scheme val="minor"/>
      </rPr>
      <t>n</t>
    </r>
  </si>
  <si>
    <t>Ejecución presupuestal de acciones relacionadas con la Educación Ambiental</t>
  </si>
  <si>
    <r>
      <t xml:space="preserve">EPAEA </t>
    </r>
    <r>
      <rPr>
        <vertAlign val="subscript"/>
        <sz val="9"/>
        <color rgb="FF000000"/>
        <rFont val="Calibri"/>
        <family val="2"/>
        <scheme val="minor"/>
      </rPr>
      <t>t</t>
    </r>
    <r>
      <rPr>
        <sz val="9"/>
        <color rgb="FF000000"/>
        <rFont val="Calibri"/>
        <family val="2"/>
        <scheme val="minor"/>
      </rPr>
      <t xml:space="preserve"> = Ejecución presupuestal de acciones en Educación Ambiental, en el año t.</t>
    </r>
  </si>
  <si>
    <r>
      <t xml:space="preserve">CAEA </t>
    </r>
    <r>
      <rPr>
        <vertAlign val="subscript"/>
        <sz val="9"/>
        <color rgb="FF000000"/>
        <rFont val="Calibri"/>
        <family val="2"/>
        <scheme val="minor"/>
      </rPr>
      <t>it</t>
    </r>
    <r>
      <rPr>
        <sz val="9"/>
        <color rgb="FF000000"/>
        <rFont val="Calibri"/>
        <family val="2"/>
        <scheme val="minor"/>
      </rPr>
      <t xml:space="preserve"> = Compromisos correspondientes a la acción i en Educación Ambiental, en el año t.</t>
    </r>
  </si>
  <si>
    <r>
      <t xml:space="preserve">PDAEA </t>
    </r>
    <r>
      <rPr>
        <vertAlign val="subscript"/>
        <sz val="9"/>
        <color rgb="FF000000"/>
        <rFont val="Calibri"/>
        <family val="2"/>
        <scheme val="minor"/>
      </rPr>
      <t>it</t>
    </r>
    <r>
      <rPr>
        <sz val="9"/>
        <color rgb="FF000000"/>
        <rFont val="Calibri"/>
        <family val="2"/>
        <scheme val="minor"/>
      </rPr>
      <t xml:space="preserve"> = Presupuesto definitivo a la acción i en Educación Ambiental, en el año t.</t>
    </r>
  </si>
  <si>
    <t>Observaciones para la mejora de la aplicación de los indicadores</t>
  </si>
  <si>
    <t>No. Hoja</t>
  </si>
  <si>
    <t>Observación</t>
  </si>
  <si>
    <t>Hoja de fórmulas</t>
  </si>
  <si>
    <t>COMPORTAMIENTO META FISICA 
PLAN DE ACCION</t>
  </si>
  <si>
    <t>COMPORTAMIENTO META FINANCIERA</t>
  </si>
  <si>
    <t>(2) INDICADOR</t>
  </si>
  <si>
    <t xml:space="preserve">   (2) UNIDAD DE MEDIDA</t>
  </si>
  <si>
    <t>(3)META FISICA ANUAL
 (Según unidad de medida)</t>
  </si>
  <si>
    <t>(4) AVANCE EJECUCIÓN DE LA META
FISICA  
(Según unidad de medida y Periodo Evaluado)</t>
  </si>
  <si>
    <t>(5) AVANCE DEL REZAGO DE LA META FISICA 
(Según unidad de medida y Periodo Evaluado)</t>
  </si>
  <si>
    <t xml:space="preserve">(6) PORCENTAJE DE AVANCE FISICO %
(Periodo Evaluado)
((4/3)*100)
</t>
  </si>
  <si>
    <t>(7) DESCRIPCIÓN DEL AVANCE 
(Describir brevemente el avance númerico registrado)</t>
  </si>
  <si>
    <t xml:space="preserve">(8) FECHA DE EJECUCION DE  LA EVIDENCIA </t>
  </si>
  <si>
    <t xml:space="preserve"> (9) META FISICA DEL PAC (Según unidad de medida)</t>
  </si>
  <si>
    <t>(10) AVANCE ACUMULADO DE LA META FISICA (Según unidad de medida)</t>
  </si>
  <si>
    <t>(11) PORCENTAJE DE AVANCE FISICO ACUMULADO % 
((11/10)*100)</t>
  </si>
  <si>
    <t>(12)               PONDERACIONES  PAC</t>
  </si>
  <si>
    <t>(14) PONDERACIÓN ANUAL DE PROGRAMAS  Y PROYECTOS VIGENCIA OBJETO DE REPORTE</t>
  </si>
  <si>
    <t>(14) META FINANCIERA ANUAL  ($)</t>
  </si>
  <si>
    <t>(16)  PORCENTAJE DEL AVANCE DE COMPROMISOS % (Periodo Evaluado) 
((15/14)*100)</t>
  </si>
  <si>
    <t>(17) AVANCE DE LOS RECURSOS OBLIGADOS $</t>
  </si>
  <si>
    <t>(18) PORCENTAJE DE AVANCE DE LOS RECURSOS OBLIGADOS  (AVANCE FINANCIERO) ((17/14)*100)</t>
  </si>
  <si>
    <t>(19) RESERVA PRESUPUESTAL $
(15-17)</t>
  </si>
  <si>
    <t xml:space="preserve">(23) 
AVANCE ACUMULADO DE LREC. COMPROMETIDOS $
</t>
  </si>
  <si>
    <t xml:space="preserve">(24)
PORCENTAJE DE  AVANCE RECURSOS COMPROMETIDOS %
((23/22
</t>
  </si>
  <si>
    <t>(25) AVANCE 
ACUMULADO DE LA EJECUCIÓN DE META
FINANCIERA (REC. OBLIGADOS) $</t>
  </si>
  <si>
    <t xml:space="preserve">(26)
PORCENTAJE DE  AVANCE FINANCIERO ACUMULADO %
((25/22)*100)
</t>
  </si>
  <si>
    <t>(27)
OBSERVACIONES</t>
  </si>
  <si>
    <t>(28)
PROGRAMA DE INVERSIÓN PUBLICA A LA QUE APORTA</t>
  </si>
  <si>
    <t>(29)
IMG AL QUE  APORTA</t>
  </si>
  <si>
    <t>(30)
INDICADOR ODS AL QUE LE APORTA</t>
  </si>
  <si>
    <t>2024-2027</t>
  </si>
  <si>
    <t>(18) TOTAL METAS FISICAS Y FINANCIERAS*</t>
  </si>
  <si>
    <t>ANEXO No. 2.PROTOCOLO O GUÍA DE DILIGENCIAMIENTO</t>
  </si>
  <si>
    <t xml:space="preserve">ITEM </t>
  </si>
  <si>
    <t>(1) ESTRUCTURA PLAN DE ACCIÓN INSTITUCIONAL 2020 -2023</t>
  </si>
  <si>
    <t>Enuncie el nombre de cada uno de los componentes de la estructura jerárquica del PAC (Línea estrategica, Programa, Proyecto, Actividad). Inserte filas cuando sea necesario.</t>
  </si>
  <si>
    <t>Indicador establecido para la medición del avance de cada una de las metas previstas en el PAC.</t>
  </si>
  <si>
    <t>(3) UNIDAD DE MEDIDA</t>
  </si>
  <si>
    <t>Relacione la unidad de medida por medio de la cual se determina la meta y el avance de la meta física, ejemplo hectáreas, número, porcentaje, metros, etcl</t>
  </si>
  <si>
    <t>(3) META FÍSICA ANUAL</t>
  </si>
  <si>
    <t>corresponde al valor de la meta anual programada para el año que se este evaluando, con relación a la acción estrategica o actividad registrado en la columna (1). Ejemplo: hectáreas reforestadas, microcuencas con plan de ordenamiento formulado, # de vertimientos reglamentados, etc.</t>
  </si>
  <si>
    <t xml:space="preserve">(4) AVANCE EJECUCIÓN DE LA META FISICA  </t>
  </si>
  <si>
    <t>Reporte el avance en la ejecución de la meta para el periodo evaluado en terminos de producto. Ejemplo: 35 hectáreas reforestadas, 3 microcuencas con plan de ordenamiento formulado, etc.  Si no se presenta avance diligenciar la matriz con ceros (0,0) y en ningún caso dejar celdas en blanco.</t>
  </si>
  <si>
    <t>(5) AVANCE DEL REZAGO DE LA META FISICA</t>
  </si>
  <si>
    <t xml:space="preserve">Corresponde al registro de avance en la ejecución de las metas del proyecto que no fueron cumplidas en la vigencia anterior. </t>
  </si>
  <si>
    <t xml:space="preserve">(6) PORCENTAJE DE AVANCE FISICO </t>
  </si>
  <si>
    <t>Calcule el porcentaje del avance anual de la Meta física programada. Divida el valor de la columna  (4) con el valor de la columna (3) y multiplique por 100. Si hay reporte de rezagos calcule el avance sumando el avance registrado en la respectiva vigencia con el avance de rezago, divida por el valor de la meta (columna 3) y multiplique por 100. 
El cálculo de avance de los niveles superiores debe afectarse por el valor de ponderación de la columna 14. Si no se presenta avance en el programa o proyecto, se deberá diligenciar la matriz con ceros (0,0) y en ningún caso dejar celdas en blanco.</t>
  </si>
  <si>
    <t xml:space="preserve">(7) DESCRIPCIÓN DEL AVANCE </t>
  </si>
  <si>
    <t>En esta columna se debe describir brevemente en que consiste el avance registrado</t>
  </si>
  <si>
    <t>Corresponde a la fecha de corte del reporte. Semestre I: 30 junio e informe anual: 31 diciembre</t>
  </si>
  <si>
    <t>(9) META FISICA DEL PAC</t>
  </si>
  <si>
    <t>Identifique el valor  (en numero) de la meta del plan de acción con relación a las acciones estrategicas o actividades registradas en la columna (1). Ejemplo: hectáreas reforestadas, microcuencas con plan de ordenamiento formulado, # de vertimientos reglamentados, etc.</t>
  </si>
  <si>
    <t>(10) AVANCE ACUMULADO DE LA META FISICA</t>
  </si>
  <si>
    <t>Reporta el avance acumulado de la meta física que se obtenga desde la aprobación del Plan de Acción, incluyendo el periodo evaluado.  Ejemplo 100 Ha reforestadas (2024), más 140 Ha reforestadas (2025), para un acumulado de 240 Ha (2024+2025)</t>
  </si>
  <si>
    <t>(11) PORCENTAJE DE AVANCE FISICO ACUMULADO</t>
  </si>
  <si>
    <t>Calcula el porcentaje del avance de la Meta física acumulada. Divida el valor de la columna  (11) con el valor de la columna (10) y multiplique por 100.</t>
  </si>
  <si>
    <t xml:space="preserve">(12) PONDERACIONES  PAC </t>
  </si>
  <si>
    <t>Relacione aquí las ponderaciones o pesos dados a cada componente del Plan de Acción teniendo en cuenta que:
•	La suma de todas las ponderaciones de las líneas estratégicas debe ser 100.
•	La suma de las ponderaciones de los programas asociados a cada línea estratégica debe ser 100.
•	La suma de las ponderaciones de los proyectos asociados a los programas debe ser 100
•	La suma de las ponderaciones de los objetivos asociados a los proyectos debe ser 100.
•	La suma de las ponderaciones de los productos asociados al Objetivo debe ser 100.
•	La suma de las ponderaciones de las actividades asociadas a los objetivos debe ser 100.</t>
  </si>
  <si>
    <t>(13) PONDERACIÓN ANUAL DE PROGRAMAS  Y PROYECTOS VIGENCIA OBJETO DE REPORTE</t>
  </si>
  <si>
    <t>Relacione aquí las ponderaciones o pesos dados a cada componente del Plan de Acción en la vigencia objeto del reporte, teniendo en cuenta que, si alguna actividad, proyecto o programa no tiene metas para la vigencia que se esta reportando, el valor que tiene asignado debe distribuirse de forma equitativa entre los componentes que si tienen meta.</t>
  </si>
  <si>
    <t>(14) META FINANCIERA ANUAL</t>
  </si>
  <si>
    <t>Relacione aquí de acuerdo al plan de inversión vigente (incluye adiciones o modificaciones) los montos de inversión anual previstos para cada Linea, programa, proyecto y actividad. Recuerde que no se pueden relacionar productos para actividades que no tienen meta asociada para la vigencia objeto de reporte</t>
  </si>
  <si>
    <t xml:space="preserve">(15) AVANCE DE LOS RECURSOS COMPROMETIDOS (Recursos comprometidos periodo Evaluado) </t>
  </si>
  <si>
    <r>
      <t>Reporte el avance acumulado para el periodo evaluado de la ejecución de recursos comprometidos de la respectiva meta financiera anual programada en la columna (14). Para el caso de los recursos de inversión ejecutados, se deben relacionar específicamente los montos que esten afectados bajo un</t>
    </r>
    <r>
      <rPr>
        <u/>
        <sz val="7"/>
        <rFont val="Arial Narrow"/>
        <family val="2"/>
      </rPr>
      <t xml:space="preserve"> registro presupuestal</t>
    </r>
    <r>
      <rPr>
        <sz val="7"/>
        <rFont val="Arial Narrow"/>
        <family val="2"/>
      </rPr>
      <t>, es decir, los recursos que han surtido todos lo pasos de destinación y efectivamente están designados para la ejecución de un proyecto o actividad.</t>
    </r>
  </si>
  <si>
    <t>(16)  PORCENTAJE DEL AVANCE DE COMPROMISOS % (Periodo Evaluado)</t>
  </si>
  <si>
    <t xml:space="preserve">Calcule el porcentaje del avance anual de los recursos comprometidos. Divida el valor de la columna  (15) con el valor de la columna (14) y multiplique por 100. </t>
  </si>
  <si>
    <t>Reporte el avance acumulado para el periodo evaluado de la ejecución de recursos obligados de la respectiva meta financiera anual programada en la columna (14). Se entiende por obligación el monto adeudado producto del desarrollo de los compromisos adquiridos por el valor equivalente a los bienes recibidos, servicios prestados y demás exigibilidades pendientes de pago. (manual para el registro de la contabilidad presupuestal pública)</t>
  </si>
  <si>
    <t>(18) PORCENTAJE DE AVANCE DE LOS RECURSOS OBLIGADOS  (AVANCE FINANCIERO)</t>
  </si>
  <si>
    <t xml:space="preserve">Calcule el porcentaje de ejecución financiera anual . Divida el valor de la columna  (17) con el valor de la columna (14) y multiplique por 100. </t>
  </si>
  <si>
    <t>(19) RESERVA PRESUPUESTAL</t>
  </si>
  <si>
    <t>Una reserva presupuestal se genera cuando el compromiso es legalmente constituido pero cuyo objeto no fue cumplido dentro del año fiscal que termina y será pagada con cargo a la reserva que se constituye a más tardar el 20 de enero de la vigencia siguiente. Se obtiene de restar el valor de la columna 16 con la columna 18</t>
  </si>
  <si>
    <t>(20) OBLIGACIONES DE LA RESERVA</t>
  </si>
  <si>
    <t>Corresponde a los recursos de la reserva  de cada año objeto de reporte que lograron obligarse en la vigencia siguiente</t>
  </si>
  <si>
    <t xml:space="preserve">(21) PORCENTAJE DE AVANCE EJECUCIÓN DE LA RESERVA </t>
  </si>
  <si>
    <t xml:space="preserve">Calcule el porcentaje de ejecuciónde la reserva dividiendo el valor de la columna  (20) con el valor de la columna (19) y multiplique por 100. </t>
  </si>
  <si>
    <t>(22) META FINANCIERA DEL PLAN</t>
  </si>
  <si>
    <t>Relacione aquí de acuerdo al plan de inversión del Plan de Acción  los montos de inversión previstos para cada programa o proyecto para los cuatro años. (incluye adiciones o modificaciones).</t>
  </si>
  <si>
    <t>(23) AVANCE ACUMULADO DE LREC. COMPROMETIDOS</t>
  </si>
  <si>
    <t>Reporte el avance acumulado de recursos comprometidoss en la vigencia del Plan de Acción, desde su aprobación hasta el periodo del informe.  Ejemplo $100'000.000.oo (2024) + $150'000.000.oo (2025), da un acumulado de inversión del Plan de Acción de $250'000.000.oo</t>
  </si>
  <si>
    <t>(24) PORCENTAJE DE  AVANCE RECURSOS COMPROMETIDOS</t>
  </si>
  <si>
    <t>Calcule el porcentaje del avance acumulado de los recursos comprometidos respecto a la Meta financiera programada en el Plan de Acción. Divida el valor de la columna  (23) con el valor de la columna (22) y multiplique por 100.</t>
  </si>
  <si>
    <t xml:space="preserve">(25) AVANCE ACUMULADO DE LA EJECUCIÓN DE META
FINANCIERA (REC. OBLIGADOS) </t>
  </si>
  <si>
    <t>Reporte el avance acumulado de recursos obligados en la vigencia del Plan de Acción, desde su aprobación hasta el periodo del informe.  Ejemplo $100'000.000.oo (2026) + $150'000.000.oo (2027), da un acumulado de inversión del Plan de Acción de $250'000.000.oo</t>
  </si>
  <si>
    <t>(26) PORCENTAJE DE  AVANCE FINANCIERO ACUMULADO</t>
  </si>
  <si>
    <t>Calcule el porcentaje del avance acumulado de los recursos obligados respecto a la Meta financiera programada en el Plan de Acción. Divida el valor de la columna  (25) con el valor de la columna (22) y multiplique por 100.</t>
  </si>
  <si>
    <t>(27) OBSERVACIONES</t>
  </si>
  <si>
    <t>Realice las respectivas observaciones que sean necesarias, principalmente cuando se requiera hacer alguna precisión sobre el avance de las metas físicas y financieras..</t>
  </si>
  <si>
    <t>(28) PROGRAMA DE INVERSIÓN PUBLICA A LA QUE APORTA</t>
  </si>
  <si>
    <t>Indique a nivel de programa del PAC a cual de los 9 programas de inversión pública del sector ambiente le aporta.</t>
  </si>
  <si>
    <t>(29) IMG AL QUE  APORTA</t>
  </si>
  <si>
    <t>Indique el IMG al cual le aporta información de variables para su cálculo.</t>
  </si>
  <si>
    <t>(30) INDICADOR ODS AL QUE LE APORTA</t>
  </si>
  <si>
    <t>Especifique el indicador asociados al Objetivo de Desarrollo Sostenible al cual le aporta  información de variables para su cálculo.</t>
  </si>
  <si>
    <t>Subdireccion de Planeacion</t>
  </si>
  <si>
    <t>Maria Cristina Robayo Abello</t>
  </si>
  <si>
    <t>Subdirectora de Planeacion</t>
  </si>
  <si>
    <t>planeacion@corpocesar.gov.co</t>
  </si>
  <si>
    <t>LINEA ESTRATEGICA 4. 
GESTIÓN PARA LA PRODUCCIÓN SOSTENIBLE</t>
  </si>
  <si>
    <t>PROGRAMA 1. (3201) FORTALECIMIENTO DEL DESEMPEÑO AMBIENTAL DE LOS SECTORES PRODUCTIVOS</t>
  </si>
  <si>
    <t>Proyecto 1.1. (3201.01) 
Gestión e implementación de estrategias para la recuperación y conservación de la flora y fauna en el Departamento del Cesar.</t>
  </si>
  <si>
    <t>Act. 1.1.1. (3201.01.03) Gestión de sistemas bajo esquemas de PSA e incentivos a la conservación: 
Fortalecimiento de capacidades (instrumentación jurídica, gestión y articulación institucional, evaluación y seguimiento, y sostenibilidad financiera.
Implementación del banco de proyectos de PSA
Dinamización el Registro Único de Ecosistemas y Áreas Ambientales (REAA).</t>
  </si>
  <si>
    <t xml:space="preserve">Act. 1.1.2 (3201.01.04) Implementación de estrategia enfocada a la bioeconomía para la sostenibilidad productiva en el uso de los recursos naturales para la conservación de   ecosistemas estratégicos priorizados en acuerdos de mesas subregionales. En armonía con el proyecto 1.2 </t>
  </si>
  <si>
    <t xml:space="preserve">Act. 1.1.3 (3201.01.07). Fortalecimiento   de las ventanillas de negocios verdes y articulación con los incentivos existentes. (incluye nuevos incentivos concertaos en mesas subregionales. 2024) </t>
  </si>
  <si>
    <t>PROGRAMA  2 (3206). GESTIÓN DEL CAMBIO CLIMÁTICO PARA UN DESARROLLO BAJO EN CARBONO Y RESILIENTE AL CLIMA</t>
  </si>
  <si>
    <t xml:space="preserve">Act. 2.1.1 (3206.003.02). Documentos técnicos de propuestas de acciones de mitigación y adaptación al cambio climático en función del cumplimiento de metas y compromisos de mitigación y de adaptación diseñados. (Implementación de las audiencias energética, según competencia de vigilancia ambiental).  
Incluye control ambiental al uso de los RN y uso racional de las Energías).   
Gestión ante los reguladores de los sectores agua y energía (CRA y CREG) para promover el URE y la vinculación a la gestión ambiental. </t>
  </si>
  <si>
    <t>Proyecto1.2 (3201.03). 
Gestión y apoyo regional a la implementación de la estrategia nacional de Economía circular y economía ambiental para la producción sostenible, articulado a las apuestas del Proyecto 2.1</t>
  </si>
  <si>
    <t xml:space="preserve">Act. 1.2.1 (3201001) Documentos de política para el fortalecimiento del desempeño ambiental de los sectores productivos
(Incluye agendas de trabajo enfocadas a economía circular, como elementos influyentes en la descarbonización de la economía, principalmente en los sectores de agricultura, manufactura y turismo. </t>
  </si>
  <si>
    <t>Act. 1.2.3 Implementación del programa integral que promueva acciones de educación ambiental, economía circular y negocios verdes en el marco de las los conocimientos y prácticas tradicionales de las comunidades negras, afrocolombianas, raizales y palenqueras</t>
  </si>
  <si>
    <t xml:space="preserve">Proyecto 2.1 (3206.03)
Servicio de apoyo técnico para la implementación de acciones de mitigación y adaptación al cambio climático, a través de la promoción de alternativas para la eficiencia del sector energético en el Cesar, En armonía sistémica con la apuesta del PROGRAMA 1  </t>
  </si>
  <si>
    <t xml:space="preserve">Act. 2.1.2. (3206.003.00) Pilotos con acciones de mitigación y adaptación al cambio climático desarrollados incluye, formulación e implementación de intervenciones locales orientadas a reducir las emisiones de GEI, aumento de sumideros de carbono, reducción de la vulnerabilidad, y aumento de la resiliencia a la variabilidad y al cambio climático., apoyada con el proyecto 6.2 (educación ambiental). </t>
  </si>
  <si>
    <t xml:space="preserve">Proyecto 2.2 (3206.01) Implementación y evaluación de acciones del Plan Integral de Gestión de Cambio Climático -PIGCC- Territorial del Cesar </t>
  </si>
  <si>
    <t xml:space="preserve">Act. 2.2.1 (3206.01.01)  
Gestión e implementación de Estrategias y/o Proyectos de mitigación y adaptación al cambio climático, en el marco de los planteamientos del -PIGCC- Cesar, priorizando las acciones realizadas con el proyecto 1.2 y el programa 3202. </t>
  </si>
  <si>
    <t>Act. 2.2.2 (3206016)
Estufa ecoeficiente fija (Incluye la construcción e instalación de estufas artesanales fijas, que disminuye el consumo de leña y la emisión de gases de efecto invernadero – GEI)</t>
  </si>
  <si>
    <t>Act. 2.2.3. Servicios de información para el seguimiento a los compromisos en cambio climático de Colombia. - Incluye todas las acciones promovidas por el gobierno nacional intra e interinstitucional para incidir con consideraciones de cambio climático en los instrumentos de planeación de los sectores y territorios (Incluye Sistema MRV, Sisclima, entre otros).</t>
  </si>
  <si>
    <t>Act. 2.2.4. (3206.07) 
Servicio de articulación para la gestión del cambio climático en la toma de decisiones sectoriales y territoriales.
Fortalecimiento de la participación y gestión de CORPOCESAR, en el Nodo Regional de Cambio Climático -NRCC- del Caribe.
Incluye todas las acciones promovidas por el gobierno nacional, intra, e interinstitucional para incidir con consideraciones de cambio climático en los instrumentos de planeación de los sectores y territorios.</t>
  </si>
  <si>
    <t>LÍNEA ESTRATÉGICA TRANSVERSAL 3
GESTIÓN DEL ORDENAMIENTO AMBIENTAL TERRITORIAL Y GESTIÓN DEL RIESGO</t>
  </si>
  <si>
    <t xml:space="preserve">PROGRAMA 3 (3203) 
GESTIÓN INTEGRAL DEL RECURSO HÍDRICO.  </t>
  </si>
  <si>
    <t>Proyecto 3.1 (3203.01)
Documentos de lineamientos técnicos para la gestión integral del recurso hídrico y materialización de la gobernanza en el marco de la PNGIRH, en el dpto. del Cesar.</t>
  </si>
  <si>
    <t>Act. 3.1.1 Formulacion nuevos POMCAS  (Cuenca La Floresta - otros directos al Magdalena medio, Cuenca Rio Badillo y otros directos)</t>
  </si>
  <si>
    <t xml:space="preserve">Act. 3.1.2. Implementacion de acciones de POMCA adoptados. </t>
  </si>
  <si>
    <t>Act. 3.1.3. Gestion, implementacion  y seguimiento de PMA Acuiferos.</t>
  </si>
  <si>
    <t>Act. 3.1.4. Formulacion del plan de manejo de microcuencas.</t>
  </si>
  <si>
    <t xml:space="preserve">Act 3.1.5. Acciones de implementacion del plan de manejo de microcuencas </t>
  </si>
  <si>
    <t>Act. 3.1.6. Formulacion del Programa Institucional Regional de Monitoreo del Agua - PIRMA</t>
  </si>
  <si>
    <t>Act. 3.1.7. Servicio de monitoreo de la oferta en cantidad de recurso hidrico.</t>
  </si>
  <si>
    <t>Act. 3.1.8 Ejecución de los PORH adoptados.</t>
  </si>
  <si>
    <t>Act 3.1.9 Formulación de un nuevo PORH.</t>
  </si>
  <si>
    <t xml:space="preserve">Act. 3.1.10. Formulación e implementación de una estrategia de seguimiento al Programa de Uso Eficiente y Ahorro del Agua (PUEAA) </t>
  </si>
  <si>
    <t>Act. 3.1.11. Formulación e implementación de una estrategia de seguimiento a concesiones hídricas</t>
  </si>
  <si>
    <t xml:space="preserve">Act. 3.1.12. Control y seguimiento a los PSMV aprobados por la Corporación </t>
  </si>
  <si>
    <t>Act. 3.1.13. Apoyo a implementación de  los PSMV  e implementación de acciones para el uso eficiente y descontaminación del recurso hídrico en el dpto. del Cesar.</t>
  </si>
  <si>
    <t xml:space="preserve">Act. 3.1.14. Control y seguimiento a los PGIRS aprobados por la Corporación </t>
  </si>
  <si>
    <t xml:space="preserve">Proyecto 3.2 (3701)
Fortalecimiento institucional a los procesos organizativos de concertación; garantía, prevención y respeto de los derechos humanos como fundamentos para la paz y la gobernanza ambiental </t>
  </si>
  <si>
    <t xml:space="preserve">Act. 3.2.1 (3701028)
Servicio de promoción de derechos de las comunidades étnicas en el Dpto. 
(incluye la coordinación interinstitucional para el apoyo a la gestión e implementación de los acuerdos derivados de la protocolización de consultas previas). </t>
  </si>
  <si>
    <t>PROGRAMA 4. (3205)
ORDENAMIENTO AMBIENTAL TERRITORIAL</t>
  </si>
  <si>
    <t>Proyecto 4.1 (3205.01)
 Fortalecimiento del proceso de Ordenamiento Territorial como estrategia para promover el desarrollo territorial sostenible, en el dpto. del Cesar, enfocada a la atención interinstitucional de tres crisis ambientales globales.</t>
  </si>
  <si>
    <t>Act. 4.1.1. Asistencia técnica a todos los municipios de la jurisdicción en los procesos de revisión y ajuste de los POT.</t>
  </si>
  <si>
    <t>Act. 4.1.2. Revisión y ajuste de las determinantes ambientales.</t>
  </si>
  <si>
    <t>Act. 4.1.3 Evaluación, control y/o seguimiento de los asuntos ambientales concertados en el proceso de revisión y/o ajustes de los POT, PBOT y EOT del Cesar.</t>
  </si>
  <si>
    <t>Act. 4.1.4 Gestión, control, seguimiento y reporte de indicadores de calidad ambiental  urbana – ICAU, en los municipios de Valledupar, Aguachica, Bosconia y Agustín Codazzi en el marco de la política nacional PGAU.</t>
  </si>
  <si>
    <t>LÍNEA ESTRATÉGICA TRANSVERSAL 5. 
GESTIÓN DE ASUNTOS AMBIENTALES SECTORIALES.</t>
  </si>
  <si>
    <t>PROGRAMA 5.  3202
 CONSERVACIÓN DE LA BIODIVERSIDAD Y SUS SERVICIOS ECOSISTÉMICOS</t>
  </si>
  <si>
    <t>Proyecto 5.1. (3202.001) 
Coordinación y Desarrollo de portafolios de sistemas sostenibles de conservación - SSC- (conservación, restauración, manejo sostenible, agroforestales, reconversión productiva) en el departamento del Cesar</t>
  </si>
  <si>
    <t>Act. 5.1.1. Coordinación, concienciación de actores entorno al proceso de visión de sistemas sostenibles de conservación -SSC. (Incluye la creación de alianzas y el acompañamiento respectivo en la ejecución de acciones estratégicas).</t>
  </si>
  <si>
    <t>Act. 5.1.2. Gestión sinérgica para la promoción y creación de capacidad técnica para la implementación del manejo SSC. (Incluye fortalecimiento y acompañamiento a través de capacitaciones para el manejo del SSC).</t>
  </si>
  <si>
    <t>Act. 5.1.3. Apoyo para la formulación, seguimiento y evaluación de proyectos pilotos y/o estratégicos de SSC.</t>
  </si>
  <si>
    <t>Act. 5.2.1. Fortalecimiento de gobernanza forestal en la jurisdicción de CORPOCESAR.</t>
  </si>
  <si>
    <t xml:space="preserve">Proyecto 5.2 (3202049)
Fortalecimiento, gestión e implementación de medidas para el manejo de la fauna y flora, en el departamento del Cesar. </t>
  </si>
  <si>
    <t>Act. 5.2.2. (3202019) Optimización del proceso operativo del CAVRFFS 
(Incluye la ejecución de acciones, seguimiento y control para la protección de la flora y la fauna, Conservación de la biodiversidad, educación y sensibilización ambiental en el departamento del Cesar).</t>
  </si>
  <si>
    <t>Act. 5.2.3. (3202060) Servicios de restauración de ecosistemas estratégicos (Desde el punto de vista de la adopción de la estrategia de Soluciones Basadas en la Naturaleza (SbN)).</t>
  </si>
  <si>
    <t>Act. 5.2.4. Implementación de estrategias para el manejo ambiental en territorios indígenas de la Sierra Nevada de Santa Marta y Serranía del Perijá.</t>
  </si>
  <si>
    <t>Act. 5.2.5. Implementación de estrategias para el manejo ambiental en comunidades afrodescendientes, otras minorías étnicas, y/o poblaciones vulnerables en el dpto. del Cesar.</t>
  </si>
  <si>
    <t xml:space="preserve">Proyecto 5.3 (3202.008)
Gestión del SIRAP (incluye gestión de nuevas APR)  y/o creación e implementación de otras estrategias de conservación de la biodiversidad y formulación e implementación y apoyo de PM de AP en el departamento del Cesar. </t>
  </si>
  <si>
    <t>Act. 5.3.1. Gestión y ejecución de acciones orientadas a la declaratoria de areas protegidas y/o  creación de estrategias complementarias para la conservación.</t>
  </si>
  <si>
    <t>Act. 5.3.2 Formulación e implementacion planes de manejo para las APR y/o planes de accion de otras estrategias de conservación de la biodiversidad.</t>
  </si>
  <si>
    <t>LÍNEA ESTRATÉGICA TRANSVERSAL 2 
GESTIÓN PARA LA CULTURA Y LA EDUCACIÓN AMBIENTAL y LÍNEA ESTRATÉGICA TRANSVERSAL 1 
GESTIÓN PARA EL FORTALECIMIENTO INSTITUCIONAL INTEGRAL</t>
  </si>
  <si>
    <t>PROGRAMA 6.  3299.
FORTALECIMIENTO DE LA GESTIÓN Y DIRECCIÓN DEL SECTOR AMBIENTE Y DESARROLLO SOSTENIBLE</t>
  </si>
  <si>
    <t xml:space="preserve">Proyecto 6.1 (3208.01)
 Fortalecimiento de la participación ciudadana en la Gestión ambiental, con enfoque de ETNO-DESARROLLO y ECOsocial en el dpto. del Cesar. </t>
  </si>
  <si>
    <t>Act. 6.1.1. Apoyo a los grupos minoritarios en la formulación de planes de etno-desarrollo (comunidades afro) y planes de vida (comunidades indígenas).</t>
  </si>
  <si>
    <t>Act. 6.1.2. Creación de escenarios de dialogo entre los ciudadanos y las entidades para el manejo de conflictos socioambientales en la jurisdicción.</t>
  </si>
  <si>
    <t xml:space="preserve">Proyecto 6.2 (3208.02)
Fortalecimiento y optimización del programa transversal de Educación Ambiental de la Corporación, armonizado a la Política Nacional de Educación Ambiental asociados a todos los proyectos de inversión de la Corporación.  </t>
  </si>
  <si>
    <t>Act. 6.2.1. Fortalecimiento de la educación ambiental incorporando el enfoque de las cátedras de gestión del riesgo y cambio climático, nodos de innovación para la educación ambiental.</t>
  </si>
  <si>
    <t xml:space="preserve">Act. 6.2.2. Fortalecimiento de capacidades a integrantes del SINA, como aporte a la modernización institucional en materia de educación ambiental. </t>
  </si>
  <si>
    <t>Act. 6.2.3. Acompañamiento a la promoción, organización, implementación e institucionalización de vigías y veedurías ambientales.</t>
  </si>
  <si>
    <t>Proyecto 6.3  
Planeación,  gestión e  implementación de recursos  para optimizar la capacidad de desempeño institucional (Infraestructura física y lógica, tecnologías emergentes, renovación tecnológica, seguridad digital, soporte técnico operacional y Talento Digital) dirigida al cumplimiento de los objetivos estratégicos de la Corporación en el marco del MIPG</t>
  </si>
  <si>
    <t>Act. 6.3.1 Optimización de la capacidad de Recursos físicos (Infraestructura, herramientas tecnológicas innovadoras, transporte, mantenimiento de equipos) para todas las seccionales.</t>
  </si>
  <si>
    <t>Act. 6.3.2. Mejoramiento de los sistemas de gestión archivística (TRD, TVD, PINAR, SIC) y gestión documental (consulta virtual y física centro de documentación) según plan específico.</t>
  </si>
  <si>
    <t>Act. 6.3.3. Optimización del Sistema Integrado de Gestión de Calidad – SIGC (Calidad, Seguridad y Salud en el Trabajo y PIGA) de la Corporación.</t>
  </si>
  <si>
    <t>Act. 6.3.4. Fortalecimiento del Control Interno de gestión en armonía con la política y retos del PGAR (Auditorias).</t>
  </si>
  <si>
    <t>Act. 6.3.5. Fortalecimiento del Banco de Programas y Proyectos como soporte a la gestión de inversión ambiental de la entidad</t>
  </si>
  <si>
    <t>Act. 6.3.6. Concertación, gestión e Implementación del programa de bienestar social e incentivos, y de
formación y capacitación.</t>
  </si>
  <si>
    <t>Act. 6.3.7. Optimización integrada del sistema de atención al ciudadano (PQR, ventanilla única), quejas, sanciones ambientales).</t>
  </si>
  <si>
    <t>Proyecto 6.4. (3204) Gestión de la Información y el conocimiento ambiental</t>
  </si>
  <si>
    <t>Act. 6.4.1. Gestión para la implementación y operación de instrumentos de monitoreo de los Recursos Naturales.</t>
  </si>
  <si>
    <t>Act. 6.4.2. Optimización del laboratorio de calidad de aire.</t>
  </si>
  <si>
    <t>Act. 6.4.3. Optimización del laboratorio de calidad de agua.</t>
  </si>
  <si>
    <t>Act. 6.4.4. Gestión para la implementación del laboratorio de suelo.</t>
  </si>
  <si>
    <t>Act. 6.4.5. Fortalecimiento del SIPGA – Cardinal</t>
  </si>
  <si>
    <t>Act. 6.4.6. Fortalecimiento de los Sistemas de Información.</t>
  </si>
  <si>
    <t>Act. 6.4.7 Reporte y cargue de la información solicitada por el Sistema de Información Ambiental de Colombia – SIAC.</t>
  </si>
  <si>
    <t xml:space="preserve">Act. 6.4.8. Fortalecimiento de la implementación de la estrategia de Comunicación política de la gestión ambiental para la divulgación interinstitucional y aprehensión ciudadana al sector ambiental </t>
  </si>
  <si>
    <t>Act. 6.4.9. Evaluación de la Evolución dinámica del PGAR y los impactos de la gestión ambiental sobre la sostenibilidad del desarrollo socio-económico y los Indicadores Mínimos de Gestión.</t>
  </si>
  <si>
    <t>Act. 6.4.10 Consolidación del SIAC en lo relacionado con la generación, consolidación,análisis y reporte en el marco del acuerdo de Escazú.</t>
  </si>
  <si>
    <t>Proyecto 6.5 Control y seguimiento ambiental efectivo</t>
  </si>
  <si>
    <t>Act 6.5.1. Fortalecimiento del sistema VITALSILAM, SUIT para la optimización de los trámites ambientales. (SIAC, SISAIRE, ETC)</t>
  </si>
  <si>
    <t>Act 6.5.2. Adquisición de equipos para el fortalecimiento de las labores de control y seguimiento ambiental.</t>
  </si>
  <si>
    <t>Act 6.5.3. Optimización de los procesos de trámites ambientales y servicios misionales de la corporación.</t>
  </si>
  <si>
    <t xml:space="preserve">Act 6.5.4. Fortalecimiento del proceso de seguimiento de los proyectos de inversion adelantados por la entidad </t>
  </si>
  <si>
    <t>Proyecto 6.6 Gestión para la optimización de la capacidad financiera y ejecutoria de la gestión ambiental de la Corporación</t>
  </si>
  <si>
    <t>Act. 6.6.1. Optimización del proceso operativo de la TUA con enfoque de cambio climático.</t>
  </si>
  <si>
    <t>Act. 6.6.2. Gestión de fuentes diferentes a las Tasas RAE.</t>
  </si>
  <si>
    <t>Act. 6.6.3. Gestión e Implementación de estrategia de financiamiento y ejecución (fondo solidario para la gestión ambiental – FSGA-)</t>
  </si>
  <si>
    <t>(1) ESTRUCTURA PLAN DE ACCIÓN INSTITUCIONAL 2024 - 2027</t>
  </si>
  <si>
    <t>Areas bajo esquemas de PSA e incentivos a la conservación</t>
  </si>
  <si>
    <t>Lineamientos estratégicos sostenibles formulados y con seguimiento y evaluación</t>
  </si>
  <si>
    <t>Negocios verdes apoyados</t>
  </si>
  <si>
    <t>Acciones coordinadas</t>
  </si>
  <si>
    <t>Asistencia tecnica realizada</t>
  </si>
  <si>
    <t>Porcentaje de avance en la implementación del programa integral que promueva acciones de educación ambiental, economía circular y negocios verdes en el marco de las los conocimientos y prácticas tradicionales de las comunidades negras, afrocolombianas, raizales y palenqueras</t>
  </si>
  <si>
    <t>Documentos técnicos de propuestas de acciones de mitigación y adaptación al cambio climático en función del cumplimiento de metas y compromisos de mitigación y de adaptación diseñados.</t>
  </si>
  <si>
    <t>Número de estrategias y/o proyectos del PIGCC, implementados o promovidos</t>
  </si>
  <si>
    <t xml:space="preserve">Número de estrategias y/o proyectos del PIGCC, implementados o promovidos
</t>
  </si>
  <si>
    <t xml:space="preserve">Estufas ecoeficientes fijas construidas </t>
  </si>
  <si>
    <t>Documentos de planeación con la propuesta de acciones de mitigación y adaptación al cambio climático diseñados</t>
  </si>
  <si>
    <t>Agenda intersectorial del NRCC Caribe articulada y apoyada.</t>
  </si>
  <si>
    <t xml:space="preserve">Porcentaje de avance en la formulaión y/o ajuste de los planes de Ordenación y Manejo de cuencas - POMCA </t>
  </si>
  <si>
    <t>Acciones de POMCA implementadas.</t>
  </si>
  <si>
    <t xml:space="preserve">Acciones de PMA de Acuíferos implementadas y con seguimiento </t>
  </si>
  <si>
    <t>Formulacion PMA de Microcuencas</t>
  </si>
  <si>
    <t xml:space="preserve">Acciones de PMA de Microcuencas </t>
  </si>
  <si>
    <t xml:space="preserve">porcenaje de avance de PIRMA formulado </t>
  </si>
  <si>
    <t xml:space="preserve"> Monitoreo de la oferta en cantidad del recurso hidrico </t>
  </si>
  <si>
    <t>Acciones de PORH formuladas y/o implementadas</t>
  </si>
  <si>
    <t xml:space="preserve">Porcentaje de PORH formulado </t>
  </si>
  <si>
    <t>Seguimientos a PUEAA aprobados y priorizados en la estrategia</t>
  </si>
  <si>
    <t>Seguimientos a concesiones aprobados y priorizados en la estrategia</t>
  </si>
  <si>
    <t>PSMV´s con seguimiento/año</t>
  </si>
  <si>
    <t>STAR apoyados (medida estructural y no estructural para disminuir la contaminación hídrica)/año</t>
  </si>
  <si>
    <t>Encuentros realizados</t>
  </si>
  <si>
    <t>Asistencia técnica realizada</t>
  </si>
  <si>
    <t>Determinantes Ambientales revisadas y actualizadas según art 32 de la  2294 2023</t>
  </si>
  <si>
    <t>Actos administrativos del proceso, con evaluación, control y/o seguimiento</t>
  </si>
  <si>
    <t>Avance del reporte ICAU</t>
  </si>
  <si>
    <t>Proyecto 4.2 (3205.002) 
Estudios técnicos para el ordenamiento ambiental territorial, en armonía con la apuesta del PROGRAMA 2..</t>
  </si>
  <si>
    <t xml:space="preserve">Act 4.2.1. Elaboración de estudios técnicos para la gestión del riesgo. </t>
  </si>
  <si>
    <t>Act 4.2.3 Ejecución de acciones estructurales y no estructurales para la reduccion del riesgo en la jurisdicción de la Corporación.</t>
  </si>
  <si>
    <t xml:space="preserve">Estudios tecnicos realizados </t>
  </si>
  <si>
    <t>Ecosistemas con conocimiento para la reduccion del riesgo</t>
  </si>
  <si>
    <t>Acciones de reducción de riesgo estructurales y no estructurales</t>
  </si>
  <si>
    <t>Alianzas establecidas</t>
  </si>
  <si>
    <t>Grupos asistidos técnicamente</t>
  </si>
  <si>
    <t>Proyectos formulados y apoyados con seguimiento y evaluación</t>
  </si>
  <si>
    <t>Acciones de gobernanza fortalecidas</t>
  </si>
  <si>
    <t>Avance de la optimización de la operatividad</t>
  </si>
  <si>
    <t>Áreas en proceso de restauración y/o mantenimiento</t>
  </si>
  <si>
    <t>Proyectos gestionados formulados y/o apoyados</t>
  </si>
  <si>
    <t>Areas protegidas declaradas y/o estrategias creadas</t>
  </si>
  <si>
    <t>Plan de manejo y/o de acción formulado</t>
  </si>
  <si>
    <t>Acciones de implementacion de planes de manejo y/o accion ejecutadas</t>
  </si>
  <si>
    <t>Acciones de carácter ambiental en torno al plan de etno desarrollo ( formulacion)</t>
  </si>
  <si>
    <t>Procesos participativos implementados</t>
  </si>
  <si>
    <t>Procesos de educación ambiental realizados (incluye las cátedras de gestión del riesgo y cambio climático, nodos de innovación para la educación ambiental)</t>
  </si>
  <si>
    <t>Acciones implementadas</t>
  </si>
  <si>
    <t xml:space="preserve">Apoyo operativo para la promoción, organización, implementación e institucionalización de vigías ambientales o veedurías ambientales acompañadas </t>
  </si>
  <si>
    <t>Infraestructuras optimizadas y mantenidas/sedes propias</t>
  </si>
  <si>
    <t>Avance del sistema archivístico y documental.</t>
  </si>
  <si>
    <t>Indice Sistema de calidad y MIPG optimizado</t>
  </si>
  <si>
    <t>Indice de Eficacia/programa</t>
  </si>
  <si>
    <t>BPI-CAR fortalecido</t>
  </si>
  <si>
    <t>Avance de la optimización del sistema</t>
  </si>
  <si>
    <t>Sistema implementado</t>
  </si>
  <si>
    <t>Infraestructura adecuada y dotada</t>
  </si>
  <si>
    <t>Sistema de información actualizado</t>
  </si>
  <si>
    <t xml:space="preserve">Plataformas digitales para difusión de la información institucional implementadas </t>
  </si>
  <si>
    <t>Evaluación realizada</t>
  </si>
  <si>
    <t>Sistema de información fortalecido</t>
  </si>
  <si>
    <t>Equipos adquiridos</t>
  </si>
  <si>
    <t xml:space="preserve">Acciones implementadas para la optimización de los procesos de trámites ambientales y servicios misionales de la corporación </t>
  </si>
  <si>
    <t xml:space="preserve">Seguimiento de proyectos en ejecución </t>
  </si>
  <si>
    <t>Avance de la optimizacióndel proceso operativo de TUA</t>
  </si>
  <si>
    <t>Indice de ejecución RAE</t>
  </si>
  <si>
    <t>Indice de ejecución FSGA</t>
  </si>
  <si>
    <t>Número</t>
  </si>
  <si>
    <t>%</t>
  </si>
  <si>
    <t>Ha</t>
  </si>
  <si>
    <t xml:space="preserve">% </t>
  </si>
  <si>
    <t xml:space="preserve">Hectáreas
</t>
  </si>
  <si>
    <t>En la gestión de las tomas sectoriales y territoriales como apoyo en la participación de la entidad ante el Nodo Regional de Cambio Climático, se Implementado el acuerdo de voluntades por un “Cesar + Verde” desde la secretaria técnica de cambio climático departamental esto con el objetivo de que los sectores del departamento del cesar puedan adoptar el acuerdo y medir las acciones tanto de mitigación como de adaptación al cambio climático.</t>
  </si>
  <si>
    <t>Se desarrollaron 4 jornadas de monitoreo de niveles y calidad (físico-química básica en campo, incluyendo una
jornada de muestreo para análisis en laboratorio) de aguas subterráneas, en mayo, junio, septiembre y noviembre
de 2024, tomando como referencia los piezómetros construidos tanto por Corpocesar, como los construidos por
Drummond Energy Inc. (DEI), así como pozos existentes en predio rurales (en los que se ha venido monitoreando
desde 2016). En el caso de los piezómetros construidos por DEI, la acción se dio en cumplimiento de la obligación
de monitoreo adquirida por CORPOCESAR, a su vez en desarrollo de la obligación de DEI de ejecutar la inversión
del 1% del valor de los proyectos Bloque La Loma y Área de Desarrollo Caporo Norte (municipios de Agustín Codazzi,
Becerril del Campo, La Jagua de Ibirico, Chiriguaná), impuesta por ANLA (siendo la acción específica concertada
con CORPOCESAR, con lo que se sigue dando continuidad al monitoreo de la oferta del recurso hídrico). La zona
de interés es aquella en que se encuentra la proyección en superficie del Sistema Acuífero Cesar (centro norte del
Cesar), el cual cuenta con Plan de Manejo Ambiental, adoptado mediante resolución 1510 del 26 de diciembre de
2019 expedida por la Dirección General de CORPOCESAR. La red construida por DEI abarca 8 estaciones
multipiezométricas y 23 piezómetros de hasta 90 metros de profundidad. Se instalaron sensores automáticos de nivel
de agua, suministrados por DEI.</t>
  </si>
  <si>
    <t xml:space="preserve">Se desarrollo una tercera jornada de monitoreo de niveles y calidad fq básica en campo (no en laboratorio) de aguas subterráneas, del 24 al 27 de septiembre de 2024, tomando nuevamente como referencia en esta ocasión solamente los piezómetros que hacen parte de la red construida por Drummond Energy Inc (en adelante, DEI) en cumplimiento de las obligaciones impuestas por ANLA (desarrollar la inversión del 1% del valor de los proyectos Bloque La Loma y Área de Desarrollo Caporo Norte) siendo la acción específica concertada con CORPOCESAR, con lo que se dando continuidad al monitoreo de la oferta del recurso hídrico. Como en la ocasión anterior (mayo, junio de 20924) la zona de interés es aquella en que se encuentra la proyección en superficie del Sistema Acuífero Cesar, el cual cuenta con Plan de Manejo Ambiental, adoptado mediante resolución 1510 del 26 de diciembre de 2019 expedida por la Dirección General de CORPOCESAR.
Se realizaron dos jornadas de monitoreo de la oferta en cantidad (caudales) del recurso hídrico así: en el mes de
marzo (primera temporada de menos lluvias – El Niño, declarado) en las corrientes Guatapurí, Manaure, Chiriaimo,
Magiriaimo, Maracas, Socomba, Sororia, Tucuy, San Pedro, Honda, Buturama, Aguas Claras y Rio de Oro,, y una
jornada de monitoreo en el mes de octubre (en temporada de más lluvias, probabilidad de La Niña débil) en las
corrientes San Pedro, Honda, Guaduas, Aguas Claras, Buturama, Torcoroma, Floresta y el río San Alberto, todas las
cuales abastecen acueductos urbanos o corregimentales. Se determinó el nivel medio, el caudal instantáneo, con
uso del molinete de propiedad de la corporación. Se continuó así con la labor de medición de la oferta del recurso hídrico superficial sigue </t>
  </si>
  <si>
    <t>El proceso de planificación y priorización se enfocó en la optimización de los seguimientos y la planificación conjunta de los instrumentos de control. Para ello, se implementaron nuevos formatos, matrices y tableros de control en la nube, que permiten monitorear el avance de las actividades y mejorar la eficiencia en la elaboración de informes. Se establecieron criterios de priorización basados en la magnitud de los impactos ambientales (35%), considerando el caudal en concesiones de agua y el área en ocupaciones de cauce, así como el fin de uso y el tamaño del proyecto. Además, se evaluó el grado de sensibilidad ambiental (25%), teniendo en cuenta la sensibilidad de la zona y la densidad de uso, junto con el incumplimiento de actividades (5%) y aspectos administrativos (35%), como la frecuencia de seguimientos, la vigencia de los instrumentos, los objetivos estratégicos y la proporción de instrumentos de control. Estos criterios se sintetizaron en una tabla dinámica para facilitar la asignación de expedientes y la planificación de visitas, asegurando una ejecución eficiente y alineada con las metas institucionales.
En el período analizado, se ejecutaron un total de 227 seguimientos, de los cuales 153 corresponden a visitas de campo y 74 a revisiones documentales. Los instrumentos con más seguimientos fueron las concesiones de aguas superficiales con 138, de las cuales 99 fueron a corrientes reglamentadas, seguido de las concesiones de aguas subterráneas con 68 acciones y las autorizaciones de ocupación de cauce con 20 seguimientos. Los municipios con mayor actividad fueron Valledupar, con 83 seguimientos, El Copey con 18, La Paz y Agustín Codazzi con 12 acciones cada uno. 
En cuanto a las fechas, los meses con mayor actividad fueron marzo a junio de 2024, con 96 seguimientos respectivamente. Las revisiones documentales se concentraron en su mayoría en los últimos meses del año, especialmente en octubre y noviembre de 2024. Además, se destacan 31 seguimientos relacionados con programas de uso eficiente y ahorro de agua (PUEAA), principalmente en Valledupar y Agustín Codazzi. En resumen, la gestión se enfocó en el cumplimiento de obligaciones ambientales, con un equilibrio entre visitas de campo y revisiones documentales, priorizando las concesiones de aguas superficiales y subterráneas en los municipios más activos.
Cumplimiento: 100%</t>
  </si>
  <si>
    <t>Se practicó visita de control y seguimiento a los municipios que cuentan con el PSMV aprobado. En el primer semestre se practicaron a 24 municipios, correspondiente al 96%, excluyendo a Pelaya, por encontrase en evaluación de la Actualización. En 2° Semestre, se practicaron visitas a 16 PSMV aprobados, equivalente al 68%; los municipios que no cuentan con PSMV aprobado como Astrea, La Gloria, Manaure, Chiriguaná, Pailitas, Gamarra y Tamalameque, correspondiente al 28% se le practica revisión documental. El municipio de Pelaya no fue aprobado, dado que se le declaró desestimiento.4%.</t>
  </si>
  <si>
    <t>Para el segundo semestre se desarrollo la identificación de la necesidad y la selección del sitio para el desarrollo del proyecto de optimización del STAR en el corregimiento de San Roque, perteneciente al municipio de Curumaní</t>
  </si>
  <si>
    <t>Se adelantó control y seguimiento a los 25 municipios que cuentan con el PGIR vigente. Los municipios se encuentran en proceso de actualización del PGIR</t>
  </si>
  <si>
    <t xml:space="preserve">Se realizó encuentro el día 3 de mayo de 2024, con líderes del resguardo Menkue en el municipio de Agustín Codazzi para atender situación de posible vulneración de derechos socioambientales en ocasión a un incendio forestal aparentemente provocado por vecino de los predios Guayabal y La Junta, en donde se encuentras asentadas alrededor de 20 familias del pueblo Yukpa. El objeto fue evaluar conjuntamente con la comunidad las afectaciones y verificar las condiciones en que se encuentra la comunidad luego de este evento en cuanto a destrucción de cultivos, cercados, mangueras de agua y la invasión de ganado particular en los predios. La finalidad es garantizar los derechos socioambientales que le asisten a la comunidad indígenas y buscar su resarcimiento a través de las acciones administrativas que le corresponden a la entidad.  Se realizó encuentro el día 20 de junio con líderes del resguardo Menkue en el municipio de Agustín Codazzi, con el objeto de acordar estrategia de gestión conjunta ante la administración municipal para lograr la formalización de la tenencia de los predio del municipio que hoy están ocupados por comunidades del pueblo Yukpa; esto en consideración a que las autoridades indígenas han priorizados acciones ambientales en dichos predios para mejorar el bienestar de dichas familias y bajo la figura de tenencia que tienen, por ahora no se puede adelantar ninguna acción directa por parte de CORPOCESAR. Con esta acción se busca garantizar los derechos </t>
  </si>
  <si>
    <t>Se realizo asistencia técnica los 25 municipios del departamento del cesar en alianza con El Ministerio de Ambiente y Desarrollo Sostenible, La Gobernación del Cesar y El Instituto Geográfico Agustín Codazzi – IGAC, enfocado hacia el Fortalecimiento del Proceso de Ordenamiento Territorial como Estrategia para Promover el Desarrollo Territorial Sostenible en el Departamento del Cesar que tienen como objetivo mejorar la capacidad operativa de actores relevantes involucrados en el proceso de revisión y ajuste de los Planes de Ordenamiento Territorial (POT, PBOT y EOT).</t>
  </si>
  <si>
    <t>Se realizó el seguimiento, evaluación y control de la incorporación de las determinantes ambientales, el cambio climático y la gestión del riesgo en los Planes de Ordenamiento Territorial (POT) de los 25 municipios del departamento del Cesar.</t>
  </si>
  <si>
    <t>Se desarrolló una segunda jornada de monitoreo de caudales de ocho (8) corrientes de aguas superficiales, durante la presente segunda temporada de lluvias (más lluvias), la que al parecer corresponde con el proceso de un evento La Niña con características débiles (según las agencias especializadas). En esta ocasión, la actividad se llevó a cabo en la presente semana, entre el 21 y el 24 de octubre, aforando los caudales de las quebradas San Pedro, Honda, Guaduas, Aguas Claras, Buturama, Torcoroma, Floresta y el río San Alberto, las cuales abastecen los acueductos veredales y municipales de Curumaní, Pailitas, Aguachica, Villa de San Andrés, San Martín, Floresta y San Alberto. 
Se termina de elaborar un documento técnico multimedia para orientar a los investigadores del entorno natural sobre el uso de la plataforma LandViewer (https://eos.com/products/landviewer/), con la que se analiza, mediante la exploración del registro histórico de imágenes satelitales (LandSat, Sentinel, entre otros), la evolución de las características naturales de una zona. El caso específico tomado es el análisis de zonas afectadas por incendios de la cobertura vegetal (incendios forestales). La herramienta multimedia (vídeo) se envió por correo electrónico a más de 100 funcionarios estatales de nivel nacional, regional y local, así como de empresas privadas, tanto en el ámbito nacional como internacional (Servicio Forestal de Estados Unidos de Norteamérica). El documento se estructuró de manera tal que el neófito en el uso de imágenes de sensores remotos pueda hacer uso de la tecnología de punta que ofrecen diversas plataformas. La entrega de la información se realiza entre agosto y septiembre de 2024. Cabe resaltar que la metodología propuesta puede aplicarse a evaluación de zonas afectadas por inundaciones o movimientos en masa significativos (entre otros eventos), tanto en el ámbito rural como en el urbano.</t>
  </si>
  <si>
    <t>En el marco del convenio 454 de 2024 suscrito entre la Agencia Nacional de Hidrocarburos - ANH y ALDESARROLLO  se ejecuta proyecto postulado por Corpocesar para el apoyo al fortalecimiento de capacidades institucionales cuyo objeto es “Gestión para el desarrollo del proceso de creación de una Estrategia Complementaria de Conservación ECC orientada a la protección, conservación y manejo sostenible del medio ambiente y de los recursos naturales renovables en la vereda la Iberia municipio de Agustín Codazzi – Cesar, como aporte para garantizar la prestación de los servicios ecosistémicos en área de exploración de hidrocarburos de la jurisdicción de la Corporación Autónoma Regional del Cesar “CORPOCESAR”.
El proyecto se ejecuta desde el mes de noviembre de 2024 y finalizará en abril de 2025 cuenta con un avance del 50% de las actividades contempladas en el plan de trabajo, incluye la realización de eventos con actores comunitarios o sociales, institucionales, empresariales y organizaciones no gubernamentales con el fin de promover la participación de grupos de interés para la planificación y manejo ambiental del territorio.  Se realizaron 3 talleres con las comunidades de la vereda Iberia para la socialización del proyecto, Transformación de Residuos Sólidos y Estrategia de Educación Ambiental y Conservación Orientada a la Protección y Manejo Sostenible del Medio Ambiente y de los Recursos Naturales Renovables.</t>
  </si>
  <si>
    <t>Se llevaron a cabo capacitaciones dirigidas al personal profesional asignado para esta labor.
Como parte de este proceso formativo, se recibieron dos visitas por parte del Ministerio de Ambiente y Desarrollo, cuyos representantes fueron los encargados de impartir charlas orientadoras sobre los lineamientos y estrategias para el fortalecimiento de la gobernanza forestal en la región</t>
  </si>
  <si>
    <t>En el marco del convenio de asociación No 001 del 2024 suscrito con la Fundación Ornitológica del Atlántico - ORNIAT se han adelantado acciones correspondientes a la línea de control y vigilancia en el manejo de los recursos flora y fauna en el departamento del Cesar. Además, transversalmente con la línea de educación ambiental:</t>
  </si>
  <si>
    <t>Se llevó a cabo la formulación, evaluación y aprobación del proyecto denominado IMPLEMENTACIÓN DE ACCIONES DE MITIGACION Y ADAPTACION AL CAMBIO CLIMATICO, EN ZONA RURAL DE LOS MUNICIPIOS DE BECERRIL, BOSCONIA, EL COPEY, TAMALAMEQUE Y GONZALEZ, EN EL DEPARTAMENTO DEL CESAR”, CON CÓDIGO BPIN 20243219000008, con el cual se atenderán las poblaciones indígenas vulnerables denominadas RESGUARDO ITTI TAKKE (ETTE ENNAKA CHIMILA) del municipio de El Copey y RESGUARDO INDIGENA DE ISSA ORISTUNA (ASENTAMIENTO KWERINNY CHORINDA) del municipio de Bosconia, proyecto que en la actualidad se encuentra en proceso de contratación.</t>
  </si>
  <si>
    <t>La Corporación realizó proyectos indicados a continuación orientados a aportar a la implementación del plan de manejo del PNR Serranía del Perijá adoptado mediante resolución No. 1430 de 2019 de Corpocesar:
-	MANTENIMIENTO DE LA RESTAURACIÓN FORESTAL REALIZADA EN ÁREAS DE INTERÉS ESTRATÉGICO EN LA SERRANÍA DEL PERIJÁ. FASE I, JURISDICCIÓN DE CORPOCESAR, DEPARTAMENTO DEL CESAR (CONTRATO N° 19-6-0057-0-2024)
-	IMPLEMENTACIÓN DE ACCIONES PARA LA RESTAURACIÓN ECOLÓGICA Y MANEJO AMBIENTAL DEL COMPLEJO DE PARAMOS PERIJÁ, PARQUE NATURAL REGIONAL SERRANÍA DE PERIJÁ Y SU ZONA CON FUNCIÓN AMORTIGUADORA, EN EL DEPARTAMENTO DEL CESAR (CONTRATO N° 19-6-0215-0-2023)</t>
  </si>
  <si>
    <t>Dentro de este proyecto se desarrollaron Jornadas de intervención socio ambiental de arborización en sitos estratégicos; Jornadas de intervención puntos críticos; Jornadas educativas virtuales y presenciales con actores integrantes Consejos Comunitarios, Comité Ambiental, asociaciones de pescadores y agricultores, asociaciones de  recicladores; Reuniones de trabajo virtuales y presenciales; jornadas de caracterización consejos comunitarios; Mesas de trabajo presenciales; encuentros dialogo de saberes; talleres de transformación de residuos sólidos a través de las artes, con actores de las comunas 1, 2, 4 y 5 de la ciudad de Valledupar; Foro Ambiental; Seminario virtual sobre sustancias químicas y residuos peligrosos, con actores institucionales, gremiales y comunitarios; Jornadas educativas sobre Participación Ciudadana a líderes comunitarios urbanos y rurales del municipio de Valledupar, entre otras.
Las imágenes que soportan dichas gestiones fueron obtenidas en las actividades desarrolladas dentro de los contratos de prestación de servicios profesionales de: Trabajadora Social (19-6-0091-0-2024); Abogada (19-6-0079-0-2024); Licenciada en Ciencias Naturales y Educación Ambiental (19-6-0049-0-2024) y Ciencias Políticas y Gobierno (19-6-0085-0-2024), como también dentro del convenio de asociación: CORPOCESAR-ASOCIACION SEYNEKUN (19-7-0003-0-2024).</t>
  </si>
  <si>
    <t>Entre octubre y diciembre de 2024 se llevaron a cabo las siguientes acciones:
Octubre: Reunion virtual plataforma zoom sobre unidades 3, 4, 5 y 6; Jornada de intervención ambiental con Aso entresierras, Colegio San Jacinto en la Vereda San Jacinto, municipio de Agustin Codazzi; Intervención jornada teórico – práctico ambiental con el Consejo Comunitario COAFROVIS y la participación de estudiantes, docentes y padres de familia de la Institución Educativa Agropecuario La Victoria De San Isidro;
Noviembre: Reunion virtual plataforma zoom sobre unidades 7, 8, 9 y 10; Corregimiento Candelaria, Municipio Chimichagua – Cesar. Jornada de acompañamiento y supervisión:  Fortalecimiento de Proyectos Ambientales y Sostenibles que Promueven la Educación Ambiental y Soluciones Basadas en la Naturaleza. Intervención jornada teórico – práctico ambiental Fundación FUNECOSOSTENIBLE  y estudiantes de la Institución Lorenza Bustamante Médina del grado décimo; Intervención ambiental con Asoetresierras, Colegio San Jacinto en la Vereda San Jacinto, municipio de Agustin Codazzi;
Diciembre: Intervención jornada teórico –práctica Inst. Educativa Lorenza Bustamante Medina, Corregimiento   Candelaria; Presentacion de propuesta finales por los participantes en el curso Intervención jornada teórico –práctica ESAL Cafeteritos ENTRESIERRA y Conservadores de la Serranía del Perijá, Vereda San Jacinto.</t>
  </si>
  <si>
    <t>Entre octubre y diciembre de 2024 se llevaron a cabo las siguientes acciones:
Octubre: Jornada de intervención ambiental en el corregimiento de Rivera, municipio de Pailitas; Jornada de intervención ambiental con Asopesagro en el corregimiento de Puerto Patiño, Aguachica; Jornada de intervención ambiental con el Consejo Comunitarios en el corregimiento Alto de la Vuelta, municipio de Valledupar; Jornada de intervención ambiental con la Defensa Civil, ESE HEAD de Valledupar en la Acequia las Mercedes en el municipio de Valledupar; Jornada de intervención ambiental con Tejiendo Saberes en la vereda Providencia, antigua vía La Pradera, finca El Cielo, municipio de Pueblo Bello; Jornada de intervención ambiental con Asogemed en la Jagua de Ibirico; Jornada de intervención ambiental con COAFROPAL en el corregimiento La Palmitas, municipio de La Jagua de Ibirico; Jornada de intervención ambiental con Jaguatur en el corregimiento La Palmitas, municipio de La Jagua de Ibirico; Jornada de intervención ambiental con el Consejo Comunitario La Danza del Tigre en el corregimiento de Mariangola, municipio de Valledupar; Jornada de intervención ambiental con ASOPROVEGA en el corregimiento de Los Venados, municipio de Valledupar; Jornada de intervención ambiental con Ejercito Nacional, Institución Educativa Magola Hernandez, ASOPROAM y FUNDESINE en Riveras del Río Ariguanicito 2, municipio de Pueblo Bello; Jornada de intervención ambiental con el Consejo Comunitario Julio Cesar Altamar en el corregimiento La Loma, municipio de El Paso; Jornada de intervención ambiental con el Consejo Comunitario Alejo Duran y Asociación Asopasito en el corregimiento La Loma, municipio de El Paso; Jornada de intervención ambiental con el comité ambiental de Iberia en la vereda Iberia, municipio de Agustín Codazzi; Jornada de intervención ambiental con Consejo Comunitario CONESICE en el corregimiento La Sierrita, municipio de Chiriguaná; Intervención jornada teórico 
práctica ambiental en procesos de gestión de economía circular, Corregimiento San José de Oriente, Municipio La Paz, gestoras ambientales guardianas de Paz; . Intervención jornada teórico – práctico ambiental con el consejo comunitario Graciliano Francisco Guillen Sierra, Corregimiento Alto de la Vuelta, Municipio Valledupar;
Noviembre: Intervención jornada teórico -práctica ambiental Consejo Comunitario “La Vieja Marle”, en el Corregimiento de Los Cerrajones; Encuentro para concertación de actividades. Intervención jornada teórico -práctica ambiental con el Consejo Comunitario CONECISE en el Corregimiento La Sierrita; Intervención jornada teórico – práctico ambiental con la asociación SOCIZA en el Corregimiento Zapatí del Municipio de Chimichagua - Cesar; Intervención jornada teórico – práctico ambiental con el Consejo Comunitario AMADA CABAS - ASMU ASEMP; Intervención jornada teórico – práctico ambiental asociación social y ambiental ASOPESAGRO en el   Corregimiento Puerto Patiño del Municipio de Aguachica - Cesar; Intervención jornada teórico – práctico ambiental con el Consejo Comunitario Luis Arnache, Corregimiento Rivera, Municipio de Pailitas; Intervención jornada teórico – práctico ambiental con el Consejo Comunitario COAFROVIC, Corregimiento La Victoria de San Isidro; Intervención jornada teórico – practico ambiental proyecto FECASA, Municipio Valledupar; Intervención ambiental con el Consejo Comunitario Graciliano Francisco Guillén Sierra, en el corregimiento Alto de la Vuelta, municipio de Valledupar; Intervención jornada teórico – práctico ambiental con la Fundación ANEI, municipio de Valledupar; Intervención ambiental con el comité ambiental de Iberia en la vereda Iberia, municipio de Agustín Codazzi; Intervención ambiental con el Consejo Comunitario Julio Cesar Altamar en el corregimiento La Loma, municipio de El Paso; Intervención ambiental con el Consejo Comunitario Alejo Duran y Asociación Asopasito en el corregimiento La Loma, municipio de El Paso; Intervención ambiental con La Fundación Sembremos Paz en el corregimiento de Los Venados, municipio de Valledupar;Intervención ambiental con Consejo Comunitario Manuel Salvador Suarez Almenarez en el corregimiento de Los Venados, municipio de Valledupar; Intervención ambiental con el Consejo Comunitario La Danza del Tigre en el corregimiento de Mariangola, municipio de Valledupar; Intervención jornada teórico –práctica consejo comunitario COAFROPAL, Corregimiento La Palmita; Intervención jornada teórico –práctica ESAL JAGUATOURS, Corregimiento La Palmita; Intervención jornada teórico –práctica ESAL ASOGEMED, cabecera municipal La Jagua de Ibirico; Intervención taller de transformación de residuos sólidos a través de las artes plásticas en Valledupar, Comuna 5, Intervención jornada teórico –práctica ESAL Tejiendo Saberes, cabecera municipal Pueblo Bello; Intervención jornada teórico –práctica y foro ambiental con ESAL Monte grande y el SENA, cabecera municipal Pueblo Bello; Intervención taller de transformación de residuos sólidos a través de las artes plásticas en Valledupar, Comuna 4; Intervención jornada virtual Seminario: Manejo de residuos de sustancias químicas, peligrosas y pos consumo hacia un entorno saludable; Intervención jornada pedagógica virtual enfocada en la justicia ambiental, cabecera municipal Valledupar; Intervención taller de transformación de residuos sólidos a través de las artes plásticas en Valledupar, Comuna 2; Intervención taller de transformación de residuos sólidos a través de las artes plásticas en Valledupar, Comuna 1.
Diciembre: Intervención jornada teórico –práctica ESAL Gestión para el fomento de acciones de agroecología con la reforestación de especies nativas de protección al Complejo Cenagoso de la Zapatosa, Corregimiento Rivera; Intervención jornada teórico –práctica, ESAL ASOPESAGRO, Corregimiento Puerto Patiño; Intervención jornada teórico –práctica Consejo Comunitario La Vieja Marle, Corregimiento Los Cerrajones; Intervención jornada teórico –práctica Consejo Comunitario CONESICE, Corregimiento La Sierrita; Intervención jornada teórico –práctica ESAL SOCIZA, Corregimiento Zapati; Intervención jornada teórico –práctica comité ambiental ASMUASEMP, Corregimiento Sempegua; Intervención jornada teórico –práctica ESAL JAGUATOURS, Corregimiento La Palmita; Intervención jornada teórico –práctica consejo comunitario COAFROPAL, Corregimiento La Palmita; Intervención jornada teórico –práctica comité ambiental “las recoge potes”, Vereda Iberia; Intervención jornada teórico –práctica Consejo Comunitario COAFROVIC, Corregimiento La Victoria de San Isidro; Intervención jornada teórico –práctica ASOPROAM, vereda Montegrande; Intervención jornada teórico –práctica ESAL Tejiendo Saberes, cabecera municipal Pueblo Bello; Intervención mesa de trabajo para estrategias ambientales con consejo comunitario Manuel Salvador, corregimiento Los Venados; Intervención mesa de trabajo para estrategias ambientales con ESAL ASOPROVECA, corregimiento Los Venados; Intervención mesa de trabajo para estrategias ambientales con Fundación Sembremos Paz, corregimiento Los Venados; Intervención jornada teórico –práctica consejo comunitario La Danza Del Tigre, corregimiento Mariangola; Intervención jornada teórico –práctica consejo comunitario Julio César Altamar, corregimiento La Loma; Intervención jornada teórico –práctica consejo comunitario Alejo Duran, municipio El Paso; Intervención jornada teórico –práctica ESAL GUARDIANA DE PAZ, corregimiento San José de Oriente; Intervención jornada teórico –práctica vivero FECASA, cabecera municipal Valledupar; Intervención jornada teórico –práctica consejo comunitario Francisco Graciliano, corregimiento Alto de la Vuelta; Intervención jornada pedagógica virtual enfocada al desarrollo sostenible: un futuro equilibrado, cabecera municipal Valledupar.</t>
  </si>
  <si>
    <t xml:space="preserve">En el año 2024 con el fin de mejorar los sistemas archivísticos se actualizó el PINAR el cual fue aprobado por el comité institucional de gestión y desempeño, se estructuró y ejecutó el plan anual de transferencias primarias y capacitaciones con alcance a cada unas de las oficinas y seccionales de la corporación. En diciembre se dio inicio al contrato (busca el número y objeto de contrato) con el fin de elaborar las TVD. En el centro de documentación se realizó reorganización de toda la bibliografía de la entidad y de aquella que por medio de canje bibliográfico se recibió. </t>
  </si>
  <si>
    <t>De acuerdo a la eficacia que mide el grado de alcance de resultados y la efectividad del desempeño de los procesos del Sistema Integrado de Gestión de Calidad – SIG-C de CORPOCESAR, se puede determinar que se cumplió la meta operativa en 100%.
Lo anterior, se puede evidenciar con:
1.	Contrato No 19-6-0136-0-2024 de 03 de abril de 2024 con inicio de actividades 05 de abril de 2024 y prorroga en tiempo y valor hasta el 27 de diciembre de 2024, cuyo objeto es “Prestación de servicios de un profesional en ingeniería industrial, ingeniería química, ambiental y/o disciplinas afines, y/o administración de empresas y/o afines con postgrado en Sistemas de Gestión y/o calidad y experiencia en manejo de procesos y gestión de calidad para el apoyo en las actividades de diseño, implementación, seguimiento y mejora del Sistema Integrado de Gestión Institucional, así como al apoyo a la implementación del Modelo Integrado de Planeación y Gestión MIPG y los procesos de acreditación y mejoras de la Corporación Autónoma Regional del Cesar”.
2.	Contrato 19-06-0177-0-2024 de 31 de mayo de 2024, cuyo objeto es “Prestación de servicios de un organismo evaluador de la conformidad, debidamente acreditado, con alto grado de experiencia, conocimientos e idoneidad en auditorías de certificación/seguimiento de sistemas de gestión de calidad, con el fin de realizar auditoria externa de seguimiento de certificación del Sistema Integrado de Gestión de Calidad ISO 9001:2015 de la  Corporación Autónoma Regional del Cesar-CORPOCESAR”</t>
  </si>
  <si>
    <t>Se cumplieron las actividades programadas en el Plan Anual de Auditoría Interna basada en Riesgos correspondiente a la vigencia 2024.
Se desarrollaron las siguientes acciones:
Auditorías integrales basadas en riesgos.
Auditorías externas.
Auditorías especiales.
Informes de Ley.
Seguimientos oficina de Control Interno.
Actividades de asesoría y acompañamiento.
Desarrollo de otros roles de la oficina de Control Interno.
Asistencia a comités interinstitucionales e institucionales.
Jornadas de capacitación.</t>
  </si>
  <si>
    <t>Para continuar fortaleciendo el Banco de Proyectos se llevó a cabo la contratación de dos profesionales con experiencia en formulación, revisión y evaluación de proyectos cuyos contratos corresponde al N° 19-6-0220-0-2024 con el objeto denominado PRESTACION DE SERVICIOS PROFESIONALES ESPECIALIZADOS PARA EL APOYO EN LAS ACTIVIDADES DE GESTION ORIENTADAS A LA FORMULACION, REVISION, EVALUACION Y APRBACION DE PROYECTOS EN EL MARCO DEL SISTEMA GENERAL DE REGALIAS (SGR), EL MANEJO DE APLICATIVOS Y HERRAMIENTAS DEL SGR, ASI COMO LA SUPERVISION DEL CUMPLIMIENTO PRESUPUESTAL Y FINANCIERO DE LOS PROYECTOS FINANCIADOS CON RECURSOS DE REGALIAS, LA GESTION DE INSTRUMENTOS DE PLANEACION Y EL SEGUIMIENTO DE METAS Y OBJETIVOS GARANTIZANDO LA ADECUADA ALINEACION CON LOS LINEAMIENTOS NORMATIVOS Y DE CONTROL DE LA SUBDIRECCION GENERAL DE PLANEACION y el Contrato N° 196-6-0194-0-2024 cuyo objeto corresponde a la PRESTACION DE SERVICIOS DE UN PROFESIONAL EN INGENIERIA INDUSTRIAL, CIVIL, AMBIENTAL, ARQUITECTURA Y/O DISCIPLINAS AFINES CON EXPERIENCIA EN GESTION Y FORMULACION DE PROYECTOS PARA LA ASISTENCIA, APOYO, EVALUACION Y SEGUIMIENTO DE PROYECTOS EN EL MARCO DEL FORTALECIMIENTO DE LA SUBDIRECCION GENERAL AREA DE PLANEACION DE LA CORPORACION AUTONOMA REGIONAL DEL CESAR</t>
  </si>
  <si>
    <t xml:space="preserve">Los planes institucionales fueron aprobados mediante la Resolución No. 0030 del 22 de enero de 2024. 
Mediante oficio SGAAF – CGITGTH – 2100 – 132 de fecha 24 de septiembre de 2024, se le solicitó al Comité Institucional de Gestión y Desempeño, el ajuste del Plan, en el sentido de incluir algunas capacitaciones que ya se habían realizado durante el año y otra que estaba programadas, así mismo, mediante comunicación SGAAF – CGITGTH – 2100 – 0153, se solicitó nuevamente el ajuste del plan de capacitación, teniendo en cuenta que por falta de apoyo logístico por parte de las oficinas que solicitaron las capacitaciones no se pudieron realizar, de igual forma, la falta de oferta académica por parte de entidades acreditadas y/o certificadas en temas requeridos: 
Así las cosas, el plan de capacitación quedó al 30 de diciembre de 2024 de la siguiente manera:
PAZ TOTAL, MEMORIA Y DERECHOS HUMANOS
TERRITORIO, VIDA Y AMBIENTE 
MUJERES, INCLUSIÓN Y DIVERSIDAD 
TRANSFORMACIÓN DIGITAL Y CIBERCULTURA 
PROBIDAD, ÉTICA E IDENTIDAD DE LO PÚBLICO 
HABILIDADES Y COMPETENCIAS 
Del Plan Institucional de Bienestar Social, Estímulos e Incentivos 2024, se programaron 20 actividades de Bienestar Social, Estímulos e Incentivos 2024, correspondientes a 5 ejes temáticos que son: 
EQUILIBRIO PSICOSOCIAL (9 actividades) 
SALUD MENTAL (4 actividades) 
DIVERSIDAD E INCLUSIÓN (2 actividades) 
TRANSFORMACIÓN DIGITAL (2 actividades) 
IDENTIDAD Y VOCACIÓN POR EL SERVICIO PÚBLICO (3 actividades) </t>
  </si>
  <si>
    <t xml:space="preserve">La atención al ciudadano se realiza de manera presencial, telefónica y virtual para garantizar un servicio eficiente. De forma presencial, se brinda recepción y radicación de solicitudes dirigidas a la Corporación. A través de atención telefónica, se orienta a los ciudadanos en la consulta de información, resolución de inquietudes, denuncias y el seguimiento a solicitudes previamente radicadas. 
Por otro lado, el correo institucional atencionalciudadano@corpocesar.gov.co se encuentra habilitado para recibir y radicar las solicitudes y/o requerimientos de los usuarios. Las Peticiones, Quejas y Reclamos (PQR) recibidas en este correo se trasladan al correo de Apoyo Secretaría (apoyo.secretaria@corpocesar.gov.co). 
Una vez recibida la solicitud, se analiza y se envía a las dependencias correspondientes para que estas proporcionen el insumo necesario para la respuesta. Las coordinaciones responsables disponen de un plazo de 10 días para recopilar y enviar dicha información a Secretaría General. 
Seguidamente, Secretaría General tiene 5 días para compilar toda la información y redactar el oficio de respuesta, el cual debe ser revisado y aprobado por el asesor correspondiente antes de ser firmado por la directora. Una vez se obtienen las firmas y autorizaciones requeridas, Secretaría </t>
  </si>
  <si>
    <t>A través del contrato N° 19-6-0111-0-2024 cuyo objeto corresponde a la prestación de servicios profesionales de un ingeniero ambiental, ingeniero industrial y/o administrador de empresas y/o economista o profesionales afines para el fortalecimiento operativo en los procesos de seguimiento de proyectos, del Plan de Acción Cuatrienial, Plan de Gestión Ambiental Regional, reporte ICAU y reportes de indicadores normativos de la Subdirección General Área de Planeación de Corpocesar, se logró el apoyo en la implementación de la estrategia SIPGA-Cardinal en reuniones con el Ministerio de Ambiente.</t>
  </si>
  <si>
    <t>La migración de la base de datos de instrumentos de manejo del grupo interno de trabajo a un formato compatible con el Registro de Usuarios del Recurso Hídrico (RURH) se realizó con el objetivo de cumplir con las disposiciones normativas establecidas en el Decreto-ley 2811 de 1974 y el Decreto 1076 de 2015, que exigen un registro detallado de las concesiones, autorizaciones y permisos para el uso de recursos hídricos. Para ello, se categorizó la información en más de 80 campos, incluyendo datos como Tipo de Usuario, Nombres/Razón Social, Tipo de Documento, Dirección, Expediente, Tipo de Instrumento, Actos Administrativos, Resoluciones, Ubicación del Predio, Características de la Fuente Hídrica, Usos del Agua, y Coordenadas Geográficas, entre otros. Este proceso asegura que la información esté alineada con los formatos adoptados por el Ministerio de Ambiente y Desarrollo Sostenible, específicamente mediante la Resolución 955 de 2012, y facilita su ingreso al Sistema de Información del Recurso Hídrico (SIRH) administrado por el IDEAM.
El proceso de migración consideró las plantillas Excel recomendadas por el IDEAM, las cuales permiten consolidar y estructurar la información histórica de los usuarios del recurso hídrico antes de ser cargada al SIRH. Estas plantillas garantizan que se capturen los datos mínimos requeridos y que la información esté estandarizada para su correcta inscripción en el RURH. Además, se tuvieron en cuenta los instructivos y normativas asociadas, como el formato e instructivo adoptado por el Ministerio, asegurando que la autoridad ambiental competente pueda diligenciar y actualizar la información de manera eficiente y conforme a la ley. Este esfuerzo de migración no solo cumple con los requisitos legales, sino que también facilita la gestión y el seguimiento de los instrumentos de manejo del recurso hídrico en el país.
Se ha realizado el cargue de los reportes de información de SISAIRE, RESPEL, SIUR(RUA)</t>
  </si>
  <si>
    <t xml:space="preserve">Las estrategias se desarrollan tomando como base el plan de acción y las actividades establecidas en las coordinaciones. Posteriormente, se procede a la publicación de contenidos a través de un plan de medios que incluye redes sociales, emisoras radiales, periódicos, y portales web, en alianza con el medio El Pilón. Durante las fechas clave relacionadas con el medio ambiente, se realizan publicaciones y campañas de sensibilización, abordando temas como la fauna y flora silvestre, la prevención de incendios forestales, y diversas acciones de educación ambiental. Además, se llevan a cabo talleres en colegios y universidades con el propósito de promover la conciencia ambiental, fortaleciendo el conocimiento sobre la conservación y la importancia del cuidado del entorno natural. </t>
  </si>
  <si>
    <t>A través del contrato N° 19-6-0111-0-2024 cuyo objeto corresponde a la prestación de servicios profesionales de un ingeniero ambiental, ingeniero industrial y/o administrador de empresas y/o economista o profesionales afines para el fortalecimiento operativo en los procesos de seguimiento de proyectos, del Plan de Acción Cuatrienial, Plan de Gestión Ambiental Regional, reporte ICAU y reportes de indicadores normativos de la Subdirección General Área de Planeación de Corpocesar, se logró el apoyo en la presentación del Informe integral de avance en la ejecución del PAC 1er semestre 2024 del período comprendido desde el 1 de enero a 30 de junio de 2024.</t>
  </si>
  <si>
    <t xml:space="preserve">Se han publicado en la plataforma el cargue de los reportes de información de SISAIRE, RESPEL, SIUR(RUA), garantizando el acceso a la información ambiental que promueve el acuerdo, </t>
  </si>
  <si>
    <t xml:space="preserve">Se adquirieron 6 estaciones meteorológicas para el monitoreo de parámetros meteorológicos asociados a la medición de calidad de aire. </t>
  </si>
  <si>
    <t>Se realizaron durante el 2024 las actividades de control y seguimiento ambiental relacionadas a continuación:
Seguimiento a licencias ambientales: 98
Seguimiento a CDA:     9
Seguimiento a PMA: 28
Seguimiento a Concesiones de agua: 210
Seguimiento a permisos de vertimiento: 66
Seguimiento a permisos de aprovechamiento forestal: 140      
Seguimiento a permisos de emisiones atmosféricas: 30     
De Igual manera se atendieron 130 Solicitudes de Trámites relacionados a continuación:
Licencias Ambientales: 15
Concesiones de Agua: 60
Permisos de Vertimiento: 7
Permisos de Aprovechamiento Forestal: 36
Permisos de Emisiones Atmosféricas: 12
Para un total de 711 acciones realizadas en procesos de trámites y servicios misionales de la Corporación.
También, se diseñaron e implementaron dos formatos de informe para el Sistema de Gestión de Calidad, con el objetivo de optimizar los procesos de seguimiento ambiental en el marco de una actividad de mejora continua. El Formato de Informe de Control y Seguimiento Ambiental a Concesiones de Aguas (PCM-01-F-87) se estructuró en secciones clave como encabezado y datos generales, antecedentes, revisión documental, cumplimiento de condiciones generales (captación, uso eficiente del agua, sistemas de medición, protección y conservación), observaciones adicionales, conclusiones y recomendaciones. Este formato permite una evaluación integral y estandarizada del cumplimiento de las obligaciones ambientales, facilitando la identificación de incumplimientos, la verificación de datos y la generación de acciones correctivas.
De manera complementaria, se desarrolló el Formato de Informe de Control y Seguimiento Ambiental a Autorizaciones para las Ocupaciones de Cauce, Playas o Lechos (PCM-01-F-88, Versión 1.0), el cual incluye secciones como encabezado y datos generales, antecedentes, revisión documental, cumplimiento de condiciones generales (localización, ejecución de actividades, conformidad técnica), evaluación de condiciones ambientales (régimen hidrológico, morfología, aspectos ecosistémicos y paisajísticos), observaciones adicionales, conclusiones y recomendaciones. Este segundo formato está orientado a garantizar el cumplimiento normativo en las ocupaciones de cauces, promoviendo una gestión ambiental eficiente y transparente.
La implementación de ambos formatos contribuye a optimizar los seguimientos ambientales al estandarizar la recopilación y análisis de información, lo que agiliza la toma de decisiones, reduce la subjetividad y fortalece el cumplimiento de las normativas vigentes. Estas herramientas no solo mejoran la eficiencia en la gestión de trámites ambientales y servicios misionales de la corporación, asegurando una gestión más efectiva y alineada con los objetivos institucionales.
Se realizó seguimiento ambiental por parte de las Seccionales GIT de La Jagua de Ibirico y de Curumaní.</t>
  </si>
  <si>
    <t>Se realizó actividad de control y seguimiento ambiental a 8 autorizaciones de permisos de aprovechamiento forestal de árboles asilados enmarcados dentro de las siguiente expedientes y resoluciones: CGITGSCH-017-2022 Resolución 003 del 7 de febrero de 2023 prorroga el permiso Resolución 021 del 7 de octubre de 2022, CGITGSCH-012-2023 Resolución 015 del 28 de diciembre de 2023, CGITGSCH-004-2023 Resolución 010 del 17 de agosto de 2023,  CGITGSCH-014-2022 Resolución 017 del 6 de septiembre de 2022, CGITGSCH-011-2023 Resolución 014 del 27 de diciembre de 2023, CGITGSCH-01-2023 Resolución 004 del 3 de marzo de 2023, CGITGSCH-003-2023 Resolución 008 del 6 de septiembre de 2023. Estas actividades de control y seguimiento consisten en verificación del cumplimiento de todas y cada una de las obligaciones impuestas mediante las resoluciones citadas anteriormente.</t>
  </si>
  <si>
    <t xml:space="preserve">Los fondos mixtos, constituyen organizaciones que estructuran mecanismos financieros y de gobernanza para mejorar la gestión ambiental de la entidad, articulando los a actores públicos, privados y de la sociedad civil.
En 2024, se avanza en la inclusión de dicha actividad dentro del proyecto de optimización de la capacidad financiera y de gestión de la corporación autónoma regional del Cesar, de modo tal que dicha estrategia ya hace parte de nuestro plan de acción y nuestras metas de cumplimiento.
Posteriormente y en ocasión de la Conferencia de las Partes (COP), órgano rector del Convenio sobre la Diversidad Biológica (CDB), un tratado internacional adoptado en la Cumbre de la Tierra de Río de Janeiro en 1992, cuyo objetivo es establecer agendas, compromisos y marcos de acción para conservar la diversidad biológica y darle un uso sostenible, así como garantizar la participación justa y equitativa de los beneficios derivados de la utilización de los recursos genéticos.
Se hizo presencia institucional en la COP16, evento desarrollado en la ciudad de Cali, capital del departamento del Valle del Cauca (Colombia), entre el 21 de octubre y el 1 de noviembre del 2024. Y allí se establecieron los contactos institucionales necesarios para motivas a diferentes actores a que se vinculen a nuestra apuesta de creación del fondo mixto del Cesar.
Las gestiones permitieron celebrar encuentros con diferentes organizaciones que han mostrado interés y como tal serán aliados estratégicos una vez se constituya dicho fondo durante la vigencia 2025.
A la fecha las gestiones presentan un avance del 10%, y se cuenta con modelo de acuerdo para presentar al consejo directivo para su autorización.
Acciones de gestión adelantadas:
•	Inclusión de la apuesta de constitución de fondo mixto en plan de acción
•	Definición de metas de actividad del Gestión e Implementación de estrategia de financiamiento y ejecución (fondo solidario para la gestión ambiental – FSGA
Socialización ante actores privados y organización no gubernamentales en el marco de la COP16.
</t>
  </si>
  <si>
    <t>ADQUISICIÓN UPS 40 KVA: 19-6-0212-0-2024 DEL 29 DE OCTUBRE DE 2024
ATENCIÓN DE REQUERIMIENTOS Y EVENTOS TECNOLÓGICOS
CONTRATACIÓN DEL SOPORTE DE GESTIÓN DE ACCESOS FÍSICOS (CCTV-CC-UPS): 19-6-0153-0-2024 DEL 17 DE ABRIL DE 2024
CONTRATACIÓN DEL SOPORTE TÉCNICO: 19-6-0069-0-2024 DEL 15 DE FEBRERO DE 2024
CONTRATACIÓN DEL SOPORTE TÉCNICO (TECNÓLOGO): 19-6-0156-0-2024 DEL 19 DE ABRIL DE 2024
IMPLEMENTACIÓN DEL SERVER DE APLICACIONES: 19-6-0203-0-2024 DEL 27 DE SEPTIEMBRE DE 2024
MANTENIMIENTOS PREVENTIVOS DE EQUIPOS DE CÓMPUTO
MIGRACIÓN ORACLE EXPRESS A ORACLE ESTÁNDAR
RENOVACIÓN OUTSOURCING DE IMPRESIÓN: 19-6-0176-0-2024 DEL 05 DE JUNIO DE 2024
RENOVACIÓN TECNOLÓGICA DE EQUIPOS DE CÓMPUTO  Ordenes de Compra de la TVEC: 122339 DEL 13 DE DICIEMBRE DE 2023 - 127150 DEL 10 DE ABRIL DE 2024 - 133253 DEL 13 DE SEPTIEMBRE DE 2024 - 136399 DEL 13 DE NOVIEMBRE DE 2024 - 136971 DEL 21 DE NOVIEMBRE DE 2024
ACTUALIZACIÓN DEL PETI: 19-6-0222-0-2024 DEL 22 DE NOVIEMBRE DE 2024</t>
  </si>
  <si>
    <t>Para el cumplimiento de esta meta la Coordinación del GIT para la gestión de Residuos Peligrosos (RESPEL), Producción y Consumo Sostenible, formulo estudios previos para la ejecución de un contrato que tiene por objeto: “IMPLEMENTACIÓN DE ACCIONES DE BIOECONOMÍA Y NEGOCIOS VERDES SOSTENIBLES DE ECO REGIONES DEL DEPARTAMENTO DE CESAR, TENDIENTE AL FORTALECIMIENTO DE LA OFERTA INSTITUCIONAL EN PRODUCTIVIDAD SOSTENIBLE PARA LA RESILIENCIA Y CONSERVACIÓN DE LOS RECURSOS NATURALES EN EL CESAR”, el cual lleva una ejecución del 100%. Dicho contrato aun se encuentra en ejecución y cuenta con una estrategia de impulso de proyectos de bioeconomía que consta de promoción permanente de bienes y servicios sostenibles. Se tiene establecido la instalación del stand, priorizando el uso de materiales sostenibles y alineados con los objetivos ambientales</t>
  </si>
  <si>
    <t xml:space="preserve">Act. 1.2.2 (3201.003): Servicio de asistencia técnica para la consolidación de negocios verdes. Promover modelos de negocios con enfoque en economía circular a través de proyectos de cadenas de suministros circulares, plataformas colaborativas, modelos para extender la vida útil de los materiales, responsabilidad extendida del productor, entre otros, incorporando habilitadores como incentivos económicos y no económicos, gobernanza, financiamiento, empleos verdes e innovación tecnológica. </t>
  </si>
  <si>
    <t>Se incluyó la nueva ficha para el estudio de acotamiento de rio Cesar dentro de las determinantes ambientales de la entidad</t>
  </si>
  <si>
    <t>En el mes de abril se participó en el desarrollo jornada de acercamiento comunitario (veredas El Saltillo y Las Cumbres en el municipio de El Copey) para capacitación en prevención del riesgo por incendios de la cobertura vegetal y conservación de ecosistemas, en las que, con la participación de la Coordinación de Ecosistemas y Biodiversidad) se brindó orientaciones para el manejo de quemas o incendios, así como para la conservación de la biodiversidad y la creación de reserva de la sociedad civil. La comunidad objeto de la actividad está compuesta por campesinos que han resultado afectados por la propagación de incendios que se generaron en las cercanías o al interior de las veredas mencionadas. Dicha comunidad solicitó la atención de la entidad, mediante el establecimiento de proyectos ambientales, y en especial la dotación de equipos, herramientas e insumos para la prevención y atención de incendios, así como la instalación de estufas ecoeficientes.
En los meses de febrero, abril y mayo se evaluó el estado de áreas afectadas por incendios de la cobertura vegetal, luego de quejas presentadas por la comunidad de las veredas Las Cumbres, la región de Monte Sión (vía a Pueblo Bello), las veredas El Silencio y el El Túnel (Valledupar) y en zona perimetral al centro urbano de Pueblo Bello. Los informes se rindieron a la Oficina Jurídica para lo pertinente y se espera que desde dicha Oficina se tomen las acciones a que hay lugar, con el fin de sancionar a los presuntos responsables.
La información sobre áreas quemadas se entregó al MADS, que la solicitó para explorar la posibilidad de formulación de proyectos de recuperación de las áreas afectadas.
Se participó en jornada de acercamiento con la comunidad del resguardo Chimila (municipio de El Copey), brindado orientaciones sobre prevención de incendios forestales, así como en la georreferenciación de información geográfica. A lo largo del año se prestó apoyo a la Oficina Jurídica de CORPOCESAR para dar cumplimiento a las sentencias de restitución de tierras, en el componente de gestión del riesgo de desastres, orientada a los beneficiarios de dichas sentencias. Los temas cubiertos incluyeron en especial la preservación de la ronda hídrica de corrientes superficiales, la prevención de incendios forestales y la prevención y manejo de los movimientos en masa. Se participó en
audiencias ante los Juzgados de Restitución de Tierras, para dar sustento a las diligencias realizadas, complementando así el apoyo dado a la oficina Jurídica.</t>
  </si>
  <si>
    <t xml:space="preserve">Con la Fundación Carboandes se suscribió el convenio No. 19-7-0007-0-2024 con el objeto Aunar esfuerzos técnicos, administrativos y económicos para fortalecimiento comunitario para la conservación ambiental y el desarrollo de capacidades en organizaciones locales de la ecorregión del Perijá a través del turismo de naturaleza regenerativo enfocado a ecosistemas altoandinos asociados al parque regional natural serranía del Perijá; Adicional se pacto la alianza con la Organizacion Gran Tierra y en la actualidad esta en la espera del acuerdo de entendimiento; </t>
  </si>
  <si>
    <t>Se implementan los tramites de aprovechamiento forestal, LOFL, SUNL, Reporte de Contigencias para proyectos lno licenciados, tramites de prospeccion de agua subterranea. Se estan implementacion tramite de concesion de agua subterranea y Planes de contigencia</t>
  </si>
  <si>
    <t>Se implemento una solucion para el diseño y contruccion del modelo de datos del proceso de liquidacion de la tasa por uso de agua, tasa retributiva por vertimientos puntuales, tassa por aprovechamiento  forestales maderable y el proceso de gestion de cobro con el fin de fortalecer y direccionar la arquitectura de informacion de los procesos misionales - contrato prestacion de servicios N° 19-6-0217-0-2024</t>
  </si>
  <si>
    <t>Se cumplió con el 79% de la meta a través de los proyectos denominados IMPLEMENTACION DE MEDIDAS DE RESTAURACIÓN ECOLÓGICA EN ÁREAS DE CONSERVACIÓN Y PROTECCIÓN AMBIENTAL EN LA QUEBRADA SINGARE, MUNICIPIO DE PELAYA DEPARTAMENTO DEL CESAR, RECUPERACIÓN DE ECOSISTEMAS Y GESTION AMBIENTAL DE CUERPOS DE AGUA PRIORIZADOS EN LA CUENCA HIDROGRÁFICA RIO BAJO CESAR-CIÉNAGA DE ZAPATOSA, EN EL DEPARTAMENTO DEL CESAR, CONSTRUCCION DE OBRAS HIDRAULICAS PARA LA REHABILITACION DE ORILLAS Y EL CONTROL DE INUNDACION SOBRE LA MARGEN DERECHA DEL RIO SAN ALBERTO EN EL CORREGIMIENTO DE PUERTO CARREÑO DEPARTAMENTO DEL CESAR Y DESARROLLO DE ACCIONES PARA LA REHABILITACION ECOLOGICA DE AREAS DEGRADADAS EN ECOSISTEMAS ESTRATEGICOS EN LA MICROCUENCA CUARÉ, EN EL DEPARTAMENTO DEL CESAR</t>
  </si>
  <si>
    <t>Dentro de este proyecto, se desarrollaron actividades como Reuniones de trabajo presenciales y virtuales con actores integrantes de los Comités Técnicos Interinstitucionales de Educación Ambiental Municipales virtuales; Jornadas pedagógicas sincrónicas y asincrónicas con actores de las Instituciones Educativas dentro del Curso sobre Educación para enfrentar el Cambio Climático; Encuentro de presentación de experiencias y proyectos; Dialogo de saberes.
dentro de los Proyectos formualdos por parte de la Corporacion en la vigencia 2024 se tuvieron en cuenta talleres de educacion ambiental enfocados a temas relacionados con cambio climatico, innovacion, educacion ambiental y temas relacionado con la gobernaza ambiental.</t>
  </si>
  <si>
    <t>N.A</t>
  </si>
  <si>
    <t>COMPROMISOS</t>
  </si>
  <si>
    <t>OBLIGACIONES</t>
  </si>
  <si>
    <t>PAGOS</t>
  </si>
  <si>
    <t>RECURSOS APROPIADOS TOTALES</t>
  </si>
  <si>
    <t>SOBRETASA AMBIENTAL URBANA</t>
  </si>
  <si>
    <t>APROVECHAMIENTO FORESTAL</t>
  </si>
  <si>
    <t>RENDIMIENTO FINANCIERO</t>
  </si>
  <si>
    <t>CONTRIBUCCION DEL SECTOR ELECTRICO</t>
  </si>
  <si>
    <t>TASA POR USO DE AGUA</t>
  </si>
  <si>
    <t>APORTE DEL SISTEMA GENERAL DE REGALIAS</t>
  </si>
  <si>
    <t>TASA RETRIBUTIVA</t>
  </si>
  <si>
    <t xml:space="preserve">VENTAS DE BIENES Y SERVICIOS </t>
  </si>
  <si>
    <t>MULTAS AMBIENTALES</t>
  </si>
  <si>
    <t>APORTES DE LA NACION PARA INVERSION</t>
  </si>
  <si>
    <t>APORTES DEL SISTEMA GENERAL DE PARTICIPACION</t>
  </si>
  <si>
    <t>APORTES INVERSION FONDO NACIONAL AMBIENTAL</t>
  </si>
  <si>
    <t>EVALUACION DE LICENCIAS Y TRAMITES AMBIENTALES</t>
  </si>
  <si>
    <t>SEGUIMIENTO A LICENCIAS Y TRAMITES AMBIENTALES</t>
  </si>
  <si>
    <t>TOTAL RECURSOS (7)</t>
  </si>
  <si>
    <t>OBSERVACIONES (8)</t>
  </si>
  <si>
    <t>APROPIACIÓN</t>
  </si>
  <si>
    <t xml:space="preserve">PAGOS </t>
  </si>
  <si>
    <t>PROGRAMA 1. (3201):
FORTALECIMIENTO DEL DESEMPEÑO AMBIENTAL DE LOS SECTORES PRODUCTIVOS</t>
  </si>
  <si>
    <t>PROYECTO 1.1. (3201.01). 
GESTIÓN E IMPLEMENTACIÓN DE ESTRATEGIAS PARA LA RECUPERACIÓN Y CONSERVACIÓN DE LA FLORA Y FAUNA EN EL DEPARTAMENTO DEL CESAR.</t>
  </si>
  <si>
    <r>
      <rPr>
        <b/>
        <sz val="10"/>
        <rFont val="Arial Narrow"/>
        <family val="2"/>
      </rPr>
      <t>ACT. 1.1.1. (3201.01.03).</t>
    </r>
    <r>
      <rPr>
        <sz val="10"/>
        <rFont val="Arial Narrow"/>
        <family val="2"/>
      </rPr>
      <t xml:space="preserve">
GESTIÓN DE SISTEMAS BAJO ESQUEMAS DE PSA E INCENTIVOS A LA CONSERVACIÓN: FORTALECIMIENTO DE CAPACIDADES (INSTRUMENTACIÓN JURÍDICA, GESTIÓN Y ARTICULACIÓN INSTITUCIONAL, EVALUACIÓN Y SEGUIMIENTO, Y SOSTENIBILIDAD FINANCIERA. IMPLEMENTACIÓN DEL BANCO DE PROYECTOS DE PSA DINAMIZACIÓN EL REGISTRO ÚNICO DE ECOSISTEMAS Y ÁREAS AMBIENTALES (REAA).</t>
    </r>
  </si>
  <si>
    <r>
      <rPr>
        <b/>
        <sz val="10"/>
        <rFont val="Arial Narrow"/>
        <family val="2"/>
      </rPr>
      <t xml:space="preserve">ACT. 1.1.2 (3201.01.04) </t>
    </r>
    <r>
      <rPr>
        <sz val="10"/>
        <rFont val="Arial Narrow"/>
        <family val="2"/>
      </rPr>
      <t xml:space="preserve">
IMPLEMENTACIÓN DE ESTRATEGIA ENFOCADA A LA BIOECONOMÍA PARA LA SOSTENIBILIDAD PRODUCTIVA EN EL USO DE LOS RECURSOS NATURALES PARA LA CONSERVACIÓN DE   ECOSISTEMAS ESTRATÉGICOS PRIORIZADOS EN ACUERDOS DE MESAS SUBREGIONALES. EN ARMONÍA CON EL PROYECTO 1.2.</t>
    </r>
  </si>
  <si>
    <r>
      <rPr>
        <b/>
        <sz val="10"/>
        <rFont val="Arial Narrow"/>
        <family val="2"/>
      </rPr>
      <t xml:space="preserve">ACT. 1.1.3 (3201.01.07). </t>
    </r>
    <r>
      <rPr>
        <sz val="10"/>
        <rFont val="Arial Narrow"/>
        <family val="2"/>
      </rPr>
      <t xml:space="preserve">
FORTALECIMIENTO   DE LAS VENTANILLAS DE NEGOCIOS VERDES Y ARTICULACIÓN CON LOS INCENTIVOS EXISTENTES. (INCLUYE NUEVOS INCENTIVOS CONCERTAOS EN MESAS SUBREGIONALES. 2024).</t>
    </r>
  </si>
  <si>
    <t xml:space="preserve">PROYECTO1.2 (3201.03). 
GESTIÓN Y APOYO REGIONAL A LA IMPLEMENTACIÓN DE LA ESTRATEGIA NACIONAL DE ECONOMÍA CIRCULAR Y ECONOMÍA AMBIENTAL PARA LA PRODUCCIÓN SOSTENIBLE, ARTICULADO A LAS APUESTAS DEL PROYECTO 2.1 </t>
  </si>
  <si>
    <r>
      <rPr>
        <b/>
        <sz val="10"/>
        <rFont val="Arial Narrow"/>
        <family val="2"/>
      </rPr>
      <t>ACT. 1.2.1 (3201001).</t>
    </r>
    <r>
      <rPr>
        <sz val="10"/>
        <rFont val="Arial Narrow"/>
        <family val="2"/>
      </rPr>
      <t xml:space="preserve">
DOCUMENTOS DE POLÍTICA PARA EL FORTALECIMIENTO DEL DESEMPEÑO AMBIENTAL DE LOS SECTORES PRODUCTIVOS (INCLUYE AGENDAS DE TRABAJO ENFOCADAS A ECONOMÍA CIRCULAR, COMO ELEMENTOS INFLUYENTES EN LA DESCARBONIZACIÓN DE LA ECONOMÍA, PRINCIPALMENTE EN LOS SECTORES DE AGRICULTURA, MANUFACTURA Y TURISMO. </t>
    </r>
  </si>
  <si>
    <r>
      <rPr>
        <b/>
        <sz val="10"/>
        <rFont val="Arial Narrow"/>
        <family val="2"/>
      </rPr>
      <t xml:space="preserve">ACT. 1.2.2 (3201.003): </t>
    </r>
    <r>
      <rPr>
        <sz val="10"/>
        <rFont val="Arial Narrow"/>
        <family val="2"/>
      </rPr>
      <t xml:space="preserve">
SERVICIO DE ASISTENCIA TÉCNICA PARA LA CONSOLIDACIÓN DE NEGOCIOS VERDES. PROMOVER MODELOS DE NEGOCIOS CON ENFOQUE EN ECONOMÍA CIRCULAR A TRAVÉS DE PROYECTOS DE CADENAS DE SUMINISTROS CIRCULARES, PLATAFORMAS COLABORATIVAS, MODELOS PARA EXTENDER LA VIDA ÚTIL DE LOS MATERIALES, RESPONSABILIDAD EXTENDIDA DEL PRODUCTOR, ENTRE OTROS, INCORPORANDO HABILITADORES COMO INCENTIVOS ECONÓMICOS Y NO ECONÓMICOS, GOBERNANZA, FINANCIAMIENTO, EMPLEOS VERDES E INNOVACIÓN TECNOLÓGICA. </t>
    </r>
  </si>
  <si>
    <r>
      <rPr>
        <b/>
        <sz val="10"/>
        <rFont val="Arial Narrow"/>
        <family val="2"/>
      </rPr>
      <t>ACT. 1.2.3.</t>
    </r>
    <r>
      <rPr>
        <sz val="10"/>
        <rFont val="Arial Narrow"/>
        <family val="2"/>
      </rPr>
      <t xml:space="preserve">
IMPLEMENTACIÓN DEL PROGRAMA INTEGRAL QUE PROMUEVA ACCIONES DE EDUCACIÓN AMBIENTAL, ECONOMÍA CIRCULAR Y NEGOCIOS VERDES EN EL MARCO DE LAS LOS CONOCIMIENTOS Y PRÁCTICAS TRADICIONALES DE LAS COMUNIDADES NEGRAS, AFROCOLOMBIANAS, RAIZALES Y PALENQUERAS.</t>
    </r>
  </si>
  <si>
    <t>PROGRAMA  2 (3206). 
GESTIÓN DEL CAMBIO CLIMÁTICO PARA UN DESARROLLO BAJO EN CARBONO Y RESILIENTE AL CLIMA.</t>
  </si>
  <si>
    <t>PROYECTO 2.1 (3206.03).
SERVICIO DE APOYO TÉCNICO PARA LA IMPLEMENTACIÓN DE ACCIONES DE MITIGACIÓN Y ADAPTACIÓN AL CAMBIO CLIMÁTICO, A TRAVÉS DE LA PROMOCIÓN DE ALTERNATIVAS PARA LA EFICIENCIA DEL SECTOR ENERGÉTICO EN EL CESAR, EN ARMONÍA SISTÉMICA CON LA APUESTA DEL PROGRAMA 1.</t>
  </si>
  <si>
    <r>
      <rPr>
        <b/>
        <sz val="10"/>
        <rFont val="Arial Narrow"/>
        <family val="2"/>
      </rPr>
      <t xml:space="preserve">ACT. 2.1.1 (3206.003.02). </t>
    </r>
    <r>
      <rPr>
        <sz val="10"/>
        <rFont val="Arial Narrow"/>
        <family val="2"/>
      </rPr>
      <t xml:space="preserve">
DOCUMENTOS TÉCNICOS DE PROPUESTAS DE ACCIONES DE MITIGACIÓN Y ADAPTACIÓN AL CAMBIO CLIMÁTICO EN FUNCIÓN DEL CUMPLIMIENTO DE METAS Y COMPROMISOS DE MITIGACIÓN Y DE ADAPTACIÓN DISEÑADOS. (IMPLEMENTACIÓN DE LAS AUDIENCIAS ENERGÉTICA, SEGÚN COMPETENCIA DE VIGILANCIA AMBIENTAL). INCLUYE CONTROL AMBIENTAL AL USO DE LOS RN Y USO RACIONAL DE LAS ENERGÍAS). GESTIÓN ANTE LOS REGULADORES DE LOS SECTORES AGUA Y ENERGÍA (CRA Y CREG) PARA PROMOVER EL URE Y LA VINCULACIÓN A LA GESTIÓN AMBIENTAL. </t>
    </r>
  </si>
  <si>
    <r>
      <rPr>
        <b/>
        <sz val="10"/>
        <rFont val="Arial Narrow"/>
        <family val="2"/>
      </rPr>
      <t>ACT. 2.1.2. (3206.003.00).</t>
    </r>
    <r>
      <rPr>
        <sz val="10"/>
        <rFont val="Arial Narrow"/>
        <family val="2"/>
      </rPr>
      <t xml:space="preserve">
PILOTOS CON ACCIONES DE MITIGACIÓN Y ADAPTACIÓN AL CAMBIO CLIMÁTICO DESARROLLADOS INCLUYE, FORMULACIÓN E IMPLEMENTACIÓN DE INTERVENCIONES LOCALES ORIENTADAS A REDUCIR LAS EMISIONES DE GEI, AUMENTO DE SUMIDEROS DE CARBONO, REDUCCIÓN DE LA VULNERABILIDAD, Y AUMENTO DE LA RESILIENCIA A LA VARIABILIDAD Y AL CAMBIO CLIMÁTICO., APOYADA CON EL PROYECTO 6.2 (EDUCACIÓN AMBIENTAL). </t>
    </r>
  </si>
  <si>
    <t>PROYECTO 2.2 (3206.01).
IMPLEMENTACIÓN Y EVALUACIÓN DE ACCIONES DEL PLAN INTEGRAL DE GESTIÓN DE CAMBIO CLIMÁTICO -PIGCC- TERRITORIAL DEL CESAR.</t>
  </si>
  <si>
    <r>
      <rPr>
        <b/>
        <sz val="10"/>
        <rFont val="Arial Narrow"/>
        <family val="2"/>
      </rPr>
      <t>ACT. 2.2.1 (3206.01.01).</t>
    </r>
    <r>
      <rPr>
        <sz val="10"/>
        <rFont val="Arial Narrow"/>
        <family val="2"/>
      </rPr>
      <t xml:space="preserve">
GESTIÓN E IMPLEMENTACIÓN DE ESTRATEGIAS Y/O PROYECTOS DE MITIGACIÓN Y ADAPTACIÓN AL CAMBIO CLIMÁTICO, EN EL MARCO DE LOS PLANTEAMIENTOS DEL -PIGCC- CESAR, PRIORIZANDO LAS ACCIONES REALIZADAS CON EL PROYECTO 1.2 Y EL PROGRAMA 3202. </t>
    </r>
  </si>
  <si>
    <r>
      <rPr>
        <b/>
        <sz val="10"/>
        <rFont val="Arial Narrow"/>
        <family val="2"/>
      </rPr>
      <t>ACT. 2.2.2 (3206016).</t>
    </r>
    <r>
      <rPr>
        <sz val="10"/>
        <rFont val="Arial Narrow"/>
        <family val="2"/>
      </rPr>
      <t xml:space="preserve">
ESTUFA ECOEFICIENTE FIJA (INCLUYE LA CONSTRUCCIÓN E INSTALACIÓN DE ESTUFAS ARTESANALES FIJAS, QUE DISMINUYE EL CONSUMO DE LEÑA Y LA EMISIÓN DE GASES DE EFECTO INVERNADERO – GEI)</t>
    </r>
  </si>
  <si>
    <r>
      <rPr>
        <b/>
        <sz val="10"/>
        <rFont val="Arial Narrow"/>
        <family val="2"/>
      </rPr>
      <t xml:space="preserve">ACT. 2.2.3. </t>
    </r>
    <r>
      <rPr>
        <sz val="10"/>
        <rFont val="Arial Narrow"/>
        <family val="2"/>
      </rPr>
      <t xml:space="preserve">
SERVICIOS DE INFORMACIÓN PARA EL SEGUIMIENTO A LOS COMPROMISOS EN CAMBIO CLIMÁTICO DE COLOMBIA. - INCLUYE TODAS LAS ACCIONES PROMOVIDAS POR EL GOBIERNO NACIONAL INTRA E INTERINSTITUCIONAL PARA INCIDIR CON CONSIDERACIONES DE CAMBIO CLIMÁTICO EN LOS INSTRUMENTOS DE PLANEACIÓN DE LOS SECTORES Y TERRITORIOS (INCLUYE SISTEMA MRV, SISCLIMA, ENTRE OTROS).</t>
    </r>
  </si>
  <si>
    <r>
      <rPr>
        <b/>
        <sz val="10"/>
        <rFont val="Arial Narrow"/>
        <family val="2"/>
      </rPr>
      <t>ACT. 2.2.4. (3206.07).</t>
    </r>
    <r>
      <rPr>
        <sz val="10"/>
        <rFont val="Arial Narrow"/>
        <family val="2"/>
      </rPr>
      <t xml:space="preserve">
SERVICIO DE ARTICULACIÓN PARA LA GESTIÓN DEL CAMBIO CLIMÁTICO EN LA TOMA DE DECISIONES SECTORIALES Y TERRITORIALES.
FORTALECIMIENTO DE LA PARTICIPACIÓN Y GESTIÓN DE CORPOCESAR, EN EL NODO REGIONAL DE CAMBIO CLIMÁTICO -NRCC- DEL CARIBE. INCLUYE TODAS LAS ACCIONES PROMOVIDAS POR EL GOBIERNO NACIONAL, INTRA, E INTERINSTITUCIONAL PARA INCIDIR CON CONSIDERACIONES DE CAMBIO CLIMÁTICO EN LOS INSTRUMENTOS DE PLANEACIÓN DE LOS SECTORES Y TERRITORIOS.
</t>
    </r>
  </si>
  <si>
    <t>LÍNEA ESTRATÉGICA TRANSVERSAL 3.
GESTIÓN DEL ORDENAMIENTO AMBIENTAL TERRITORIAL Y GESTIÓN DEL RIESGO.</t>
  </si>
  <si>
    <t xml:space="preserve">PROGRAMA 3 (3203).
GESTIÓN INTEGRAL DEL RECURSO HÍDRICO.  </t>
  </si>
  <si>
    <t xml:space="preserve">PROYECTO 3.1 (3203.01).
DOCUMENTOS DE LINEAMIENTOS TÉCNICOS PARA LA GESTIÓN INTEGRAL DEL RECURSO HÍDRICO Y MATERIALIZACIÓN DE LA GOBERNANZA EN EL MARCO DE LA PNGIRH, EN EL DPTO. DEL CESAR. </t>
  </si>
  <si>
    <r>
      <rPr>
        <b/>
        <sz val="10"/>
        <rFont val="Arial Narrow"/>
        <family val="2"/>
      </rPr>
      <t>ACT. 3.1.1.</t>
    </r>
    <r>
      <rPr>
        <sz val="10"/>
        <rFont val="Arial Narrow"/>
        <family val="2"/>
      </rPr>
      <t xml:space="preserve">
FORMULACION NUEVOS POMCAS  (CUENCA LA FLORESTA - OTROS DIRECTOS AL MAGDALENA MEDIO, CUENCA RIO BADILLO Y OTROS DIRECTOS)</t>
    </r>
  </si>
  <si>
    <r>
      <rPr>
        <b/>
        <sz val="10"/>
        <rFont val="Arial Narrow"/>
        <family val="2"/>
      </rPr>
      <t xml:space="preserve">ACT. 3.1.2. </t>
    </r>
    <r>
      <rPr>
        <sz val="10"/>
        <rFont val="Arial Narrow"/>
        <family val="2"/>
      </rPr>
      <t xml:space="preserve">
IMPLEMENTACION DE ACCIONES DE POMCA ADOPTADOS. </t>
    </r>
  </si>
  <si>
    <r>
      <rPr>
        <b/>
        <sz val="10"/>
        <rFont val="Arial Narrow"/>
        <family val="2"/>
      </rPr>
      <t xml:space="preserve">ACT. 3.1.3. </t>
    </r>
    <r>
      <rPr>
        <sz val="10"/>
        <rFont val="Arial Narrow"/>
        <family val="2"/>
      </rPr>
      <t xml:space="preserve">
GESTION, IMPLEMENTACION  Y SEGUIMIENTO DE PMA ACUIFEROS.</t>
    </r>
  </si>
  <si>
    <r>
      <rPr>
        <b/>
        <sz val="10"/>
        <rFont val="Arial Narrow"/>
        <family val="2"/>
      </rPr>
      <t xml:space="preserve">ACT. 3.1.4. </t>
    </r>
    <r>
      <rPr>
        <sz val="10"/>
        <rFont val="Arial Narrow"/>
        <family val="2"/>
      </rPr>
      <t xml:space="preserve">
FORMULACION DEL PLAN DE MANEJO DE MICROCUENCAS.</t>
    </r>
  </si>
  <si>
    <r>
      <rPr>
        <b/>
        <sz val="10"/>
        <rFont val="Arial Narrow"/>
        <family val="2"/>
      </rPr>
      <t xml:space="preserve">ACT 3.1.5. </t>
    </r>
    <r>
      <rPr>
        <sz val="10"/>
        <rFont val="Arial Narrow"/>
        <family val="2"/>
      </rPr>
      <t xml:space="preserve">
ACCIONES DE IMPLEMENTACION DEL PLAN DE MANEJO DE MICROCUENCAS </t>
    </r>
  </si>
  <si>
    <r>
      <rPr>
        <b/>
        <sz val="10"/>
        <rFont val="Arial Narrow"/>
        <family val="2"/>
      </rPr>
      <t xml:space="preserve">ACT. 3.1.6. </t>
    </r>
    <r>
      <rPr>
        <sz val="10"/>
        <rFont val="Arial Narrow"/>
        <family val="2"/>
      </rPr>
      <t xml:space="preserve">
FORMULACION DEL PROGRAMA INSTITUCIONAL REGIONAL DE MONITOREO DEL AGUA - PIRMA</t>
    </r>
  </si>
  <si>
    <r>
      <rPr>
        <b/>
        <sz val="10"/>
        <rFont val="Arial Narrow"/>
        <family val="2"/>
      </rPr>
      <t xml:space="preserve">ACT. 3.1.7. </t>
    </r>
    <r>
      <rPr>
        <sz val="10"/>
        <rFont val="Arial Narrow"/>
        <family val="2"/>
      </rPr>
      <t xml:space="preserve">
SERVICIO DE MONITOREO DE LA OFERTA EN CANTIDAD DE RECURSO HIDRICO.</t>
    </r>
  </si>
  <si>
    <r>
      <rPr>
        <b/>
        <sz val="10"/>
        <rFont val="Arial Narrow"/>
        <family val="2"/>
      </rPr>
      <t>ACT. 3.1.8.</t>
    </r>
    <r>
      <rPr>
        <sz val="10"/>
        <rFont val="Arial Narrow"/>
        <family val="2"/>
      </rPr>
      <t xml:space="preserve">
EJECUCIÓN DE LOS PORH ADOPTADOS.</t>
    </r>
  </si>
  <si>
    <r>
      <rPr>
        <b/>
        <sz val="10"/>
        <rFont val="Arial Narrow"/>
        <family val="2"/>
      </rPr>
      <t>ACT 3.1.9.</t>
    </r>
    <r>
      <rPr>
        <sz val="10"/>
        <rFont val="Arial Narrow"/>
        <family val="2"/>
      </rPr>
      <t xml:space="preserve">
FORMULACIÓN DE UN NUEVO PORH.</t>
    </r>
  </si>
  <si>
    <r>
      <rPr>
        <b/>
        <sz val="10"/>
        <rFont val="Arial Narrow"/>
        <family val="2"/>
      </rPr>
      <t xml:space="preserve">ACT. 3.1.10. 
</t>
    </r>
    <r>
      <rPr>
        <sz val="10"/>
        <rFont val="Arial Narrow"/>
        <family val="2"/>
      </rPr>
      <t>FORMULACIÓN E IMPLEMENTACIÓN DE UNA ESTRATEGIA DE SEGUIMIENTO AL PROGRAMA DE USO EFICIENTE Y AHORRO DEL AGUA (PUEAA).</t>
    </r>
  </si>
  <si>
    <r>
      <rPr>
        <b/>
        <sz val="10"/>
        <rFont val="Arial Narrow"/>
        <family val="2"/>
      </rPr>
      <t xml:space="preserve">ACT. 3.1.11. </t>
    </r>
    <r>
      <rPr>
        <sz val="10"/>
        <rFont val="Arial Narrow"/>
        <family val="2"/>
      </rPr>
      <t xml:space="preserve">
FORMULACIÓN E IMPLEMENTACIÓN DE UNA ESTRATEGIA DE SEGUIMIENTO A CONCESIONES HÍDRICAS.</t>
    </r>
  </si>
  <si>
    <r>
      <rPr>
        <b/>
        <sz val="10"/>
        <rFont val="Arial Narrow"/>
        <family val="2"/>
      </rPr>
      <t xml:space="preserve">ACT. 3.1.12. </t>
    </r>
    <r>
      <rPr>
        <sz val="10"/>
        <rFont val="Arial Narrow"/>
        <family val="2"/>
      </rPr>
      <t xml:space="preserve">
CONTROL Y SEGUIMIENTO A LOS PSMV APROBADOS POR LA CORPORACIÓN </t>
    </r>
  </si>
  <si>
    <r>
      <rPr>
        <b/>
        <sz val="10"/>
        <rFont val="Arial Narrow"/>
        <family val="2"/>
      </rPr>
      <t xml:space="preserve">ACT. 3.1.13. </t>
    </r>
    <r>
      <rPr>
        <sz val="10"/>
        <rFont val="Arial Narrow"/>
        <family val="2"/>
      </rPr>
      <t xml:space="preserve">
APOYO A IMPLEMENTACIÓN DE  LOS PSMV  E IMPLEMENTACIÓN DE ACCIONES PARA EL USO EFICIENTE Y DESCONTAMINACIÓN DEL RECURSO HÍDRICO EN EL DPTO. DEL CESAR.</t>
    </r>
  </si>
  <si>
    <r>
      <rPr>
        <b/>
        <sz val="10"/>
        <rFont val="Arial Narrow"/>
        <family val="2"/>
      </rPr>
      <t xml:space="preserve">ACT. 3.1.14. </t>
    </r>
    <r>
      <rPr>
        <sz val="10"/>
        <rFont val="Arial Narrow"/>
        <family val="2"/>
      </rPr>
      <t xml:space="preserve">
CONTROL Y SEGUIMIENTO A LOS PGIRS APROBADOS POR LA CORPORACIÓN.</t>
    </r>
  </si>
  <si>
    <t>PROYECTO 3.2 (3701).
FORTALECIMIENTO INSTITUCIONAL A LOS PROCESOS ORGANIZATIVOS DE CONCERTACIÓN; GARANTÍA, PREVENCIÓN Y RESPETO DE LOS DERECHOS HUMANOS COMO FUNDAMENTOS PARA LA PAZ Y LA GOBERNANZA AMBIENTAL.</t>
  </si>
  <si>
    <r>
      <rPr>
        <b/>
        <sz val="10"/>
        <rFont val="Arial Narrow"/>
        <family val="2"/>
      </rPr>
      <t>ACT. 3.2.1 (3701028).</t>
    </r>
    <r>
      <rPr>
        <sz val="10"/>
        <rFont val="Arial Narrow"/>
        <family val="2"/>
      </rPr>
      <t xml:space="preserve">
SERVICIO DE PROMOCIÓN DE DERECHOS DE LAS COMUNIDADES ÉTNICAS EN EL DPTO. 
(INCLUYE LA COORDINACIÓN INTERINSTITUCIONAL PARA EL APOYO A LA GESTIÓN E IMPLEMENTACIÓN DE LOS ACUERDOS DERIVADOS DE LA PROTOCOLIZACIÓN DE CONSULTAS PREVIAS). </t>
    </r>
  </si>
  <si>
    <t>PROGRAMA 4. (3205).
ORDENAMIENTO AMBIENTAL TERRITORIAL.</t>
  </si>
  <si>
    <t xml:space="preserve">PROYECTO 4.1 (3205.01).
FORTALECIMIENTO DEL PROCESO DE ORDENAMIENTO TERRITORIAL COMO ESTRATEGIA PARA PROMOVER EL DESARROLLO TERRITORIAL SOSTENIBLE, EN EL DPTO. DEL CESAR, ENFOCADA A LA ATENCIÓN INTERINSTITUCIONAL DE TRES CRISIS AMBIENTALES GLOBALES. </t>
  </si>
  <si>
    <r>
      <rPr>
        <b/>
        <sz val="10"/>
        <rFont val="Arial Narrow"/>
        <family val="2"/>
      </rPr>
      <t xml:space="preserve">ACT. 4.1.1. </t>
    </r>
    <r>
      <rPr>
        <sz val="10"/>
        <rFont val="Arial Narrow"/>
        <family val="2"/>
      </rPr>
      <t xml:space="preserve">
ASISTENCIA TÉCNICA A TODOS LOS MUNICIPIOS DE LA JURISDICCIÓN EN LOS PROCESOS DE REVISIÓN Y AJUSTE DE LOS POT.</t>
    </r>
  </si>
  <si>
    <r>
      <rPr>
        <b/>
        <sz val="10"/>
        <rFont val="Arial Narrow"/>
        <family val="2"/>
      </rPr>
      <t xml:space="preserve">ACT. 4.1.2. </t>
    </r>
    <r>
      <rPr>
        <sz val="10"/>
        <rFont val="Arial Narrow"/>
        <family val="2"/>
      </rPr>
      <t xml:space="preserve">
REVISIÓN Y AJUSTE DE LAS DETERMINANTES AMBIENTALES.</t>
    </r>
  </si>
  <si>
    <r>
      <rPr>
        <b/>
        <sz val="10"/>
        <rFont val="Arial Narrow"/>
        <family val="2"/>
      </rPr>
      <t>ACT. 4.1.3.</t>
    </r>
    <r>
      <rPr>
        <sz val="10"/>
        <rFont val="Arial Narrow"/>
        <family val="2"/>
      </rPr>
      <t xml:space="preserve">
EVALUACIÓN, CONTROL Y/O SEGUIMIENTO DE LOS ASUNTOS AMBIENTALES CONCERTADOS EN EL PROCESO DE REVISIÓN Y/O AJUSTES DE LOS POT, PBOT Y EOT DEL CESAR.</t>
    </r>
  </si>
  <si>
    <r>
      <rPr>
        <b/>
        <sz val="10"/>
        <rFont val="Arial Narrow"/>
        <family val="2"/>
      </rPr>
      <t>ACT. 4.1.4.</t>
    </r>
    <r>
      <rPr>
        <sz val="10"/>
        <rFont val="Arial Narrow"/>
        <family val="2"/>
      </rPr>
      <t xml:space="preserve">
GESTIÓN, CONTROL, SEGUIMIENTO Y REPORTE DE INDICADORES DE CALIDAD AMBIENTAL  URBANA – ICAU, EN LOS MUNICIPIOS DE VALLEDUPAR, AGUACHICA, BOSCONIA Y AGUSTÍN CODAZZI EN EL MARCO DE LA POLÍTICA NACIONAL PGAU.</t>
    </r>
  </si>
  <si>
    <t>PROYECTO 4.2 (3205.002).
ESTUDIOS TÉCNICOS PARA EL ORDENAMIENTO AMBIENTAL TERRITORIAL, EN ARMONÍA CON LA APUESTA DEL PROGRAMA 2..</t>
  </si>
  <si>
    <r>
      <rPr>
        <b/>
        <sz val="10"/>
        <rFont val="Arial Narrow"/>
        <family val="2"/>
      </rPr>
      <t xml:space="preserve">ACT 4.2.1. </t>
    </r>
    <r>
      <rPr>
        <sz val="10"/>
        <rFont val="Arial Narrow"/>
        <family val="2"/>
      </rPr>
      <t xml:space="preserve">
ELABORACIÓN DE ESTUDIOS TÉCNICOS PARA LA GESTIÓN DEL RIESGO. </t>
    </r>
  </si>
  <si>
    <r>
      <rPr>
        <b/>
        <sz val="10"/>
        <rFont val="Arial Narrow"/>
        <family val="2"/>
      </rPr>
      <t xml:space="preserve">ACT. 4.2.2. </t>
    </r>
    <r>
      <rPr>
        <sz val="10"/>
        <rFont val="Arial Narrow"/>
        <family val="2"/>
      </rPr>
      <t xml:space="preserve">
PRIORIZACIÓN, GESTIÓN Y EJECUCIÓN DE ACCIONES DE CONOCIMIENTO DEL RIESGO EN ÁREAS ESPECÍFICAS DE ECOSISTEMAS SUCEPTIBLES DE AFECTACIÓN.</t>
    </r>
  </si>
  <si>
    <r>
      <rPr>
        <b/>
        <sz val="10"/>
        <rFont val="Arial Narrow"/>
        <family val="2"/>
      </rPr>
      <t>ACT 4.2.3.</t>
    </r>
    <r>
      <rPr>
        <sz val="10"/>
        <rFont val="Arial Narrow"/>
        <family val="2"/>
      </rPr>
      <t xml:space="preserve">
EJECUCIÓN DE ACCIONES ESTRUCTURALES Y NO ESTRUCTURALES PARA LA REDUCCION DEL RIESGO EN LA JURISDICCIÓN DE LA CORPORACIÓN.</t>
    </r>
  </si>
  <si>
    <t>PROGRAMA 5.  3202.
 CONSERVACIÓN DE LA BIODIVERSIDAD Y SUS SERVICIOS ECOSISTÉMICOS.</t>
  </si>
  <si>
    <t>PROYECTO 5.1. (3202.001).
COORDINACIÓN Y DESARROLLO DE PORTAFOLIOS DE SISTEMAS SOSTENIBLES DE CONSERVACIÓN - SSC- (CONSERVACIÓN, RESTAURACIÓN, MANEJO SOSTENIBLE, AGROFORESTALES, RECONVERSIÓN PRODUCTIVA) EN EL DEPARTAMENTO DEL CESAR</t>
  </si>
  <si>
    <r>
      <rPr>
        <b/>
        <sz val="10"/>
        <rFont val="Arial Narrow"/>
        <family val="2"/>
      </rPr>
      <t xml:space="preserve">ACT. 5.1.1. </t>
    </r>
    <r>
      <rPr>
        <sz val="10"/>
        <rFont val="Arial Narrow"/>
        <family val="2"/>
      </rPr>
      <t xml:space="preserve">
COORDINACIÓN, CONCIENCIACIÓN DE ACTORES ENTORNO AL PROCESO DE VISIÓN DE SISTEMAS SOSTENIBLES DE CONSERVACIÓN -SSC. (INCLUYE LA CREACIÓN DE ALIANZAS Y EL ACOMPAÑAMIENTO RESPECTIVO EN LA EJECUCIÓN DE ACCIONES ESTRATÉGICAS).</t>
    </r>
  </si>
  <si>
    <r>
      <rPr>
        <b/>
        <sz val="10"/>
        <rFont val="Arial Narrow"/>
        <family val="2"/>
      </rPr>
      <t xml:space="preserve">ACT. 5.1.2. </t>
    </r>
    <r>
      <rPr>
        <sz val="10"/>
        <rFont val="Arial Narrow"/>
        <family val="2"/>
      </rPr>
      <t xml:space="preserve">
GESTIÓN SINÉRGICA PARA LA PROMOCIÓN Y CREACIÓN DE CAPACIDAD TÉCNICA PARA LA IMPLEMENTACIÓN DEL MANEJO SSC. (INCLUYE FORTALECIMIENTO Y ACOMPAÑAMIENTO A TRAVÉS DE CAPACITACIONES PARA EL MANEJO DEL SSC).</t>
    </r>
  </si>
  <si>
    <r>
      <rPr>
        <b/>
        <sz val="10"/>
        <rFont val="Arial Narrow"/>
        <family val="2"/>
      </rPr>
      <t xml:space="preserve">ACT. 5.1.3. </t>
    </r>
    <r>
      <rPr>
        <sz val="10"/>
        <rFont val="Arial Narrow"/>
        <family val="2"/>
      </rPr>
      <t xml:space="preserve">
APOYO PARA LA FORMULACIÓN, SEGUIMIENTO Y EVALUACIÓN DE PROYECTOS PILOTOS Y/O ESTRATÉGICOS DE SSC.</t>
    </r>
  </si>
  <si>
    <t xml:space="preserve">PROYECTO 5.2 (3202049).
FORTALECIMIENTO, GESTIÓN E IMPLEMENTACIÓN DE MEDIDAS PARA EL MANEJO DE LA FAUNA Y FLORA, EN EL DEPARTAMENTO DEL CESAR. </t>
  </si>
  <si>
    <r>
      <rPr>
        <b/>
        <sz val="10"/>
        <rFont val="Arial Narrow"/>
        <family val="2"/>
      </rPr>
      <t xml:space="preserve">ACT. 5.2.1. </t>
    </r>
    <r>
      <rPr>
        <sz val="10"/>
        <rFont val="Arial Narrow"/>
        <family val="2"/>
      </rPr>
      <t xml:space="preserve">
FORTALECIMIENTO DE GOBERNANZA FORESTAL EN LA JURISDICCIÓN DE CORPOCESAR.</t>
    </r>
  </si>
  <si>
    <r>
      <rPr>
        <b/>
        <sz val="10"/>
        <rFont val="Arial Narrow"/>
        <family val="2"/>
      </rPr>
      <t xml:space="preserve">ACT. 5.2.2. (3202019). </t>
    </r>
    <r>
      <rPr>
        <sz val="10"/>
        <rFont val="Arial Narrow"/>
        <family val="2"/>
      </rPr>
      <t xml:space="preserve">
OPTIMIZACIÓN DEL PROCESO OPERATIVO DEL CAVRFFS 
(INCLUYE LA EJECUCIÓN DE ACCIONES, SEGUIMIENTO Y CONTROL PARA LA PROTECCIÓN DE LA FLORA Y LA FAUNA, CONSERVACIÓN DE LA BIODIVERSIDAD, EDUCACIÓN Y SENSIBILIZACIÓN AMBIENTAL EN EL DEPARTAMENTO DEL CESAR).</t>
    </r>
  </si>
  <si>
    <r>
      <rPr>
        <b/>
        <sz val="10"/>
        <rFont val="Arial Narrow"/>
        <family val="2"/>
      </rPr>
      <t>ACT. 5.2.3. (3202060).</t>
    </r>
    <r>
      <rPr>
        <sz val="10"/>
        <rFont val="Arial Narrow"/>
        <family val="2"/>
      </rPr>
      <t xml:space="preserve">
SERVICIOS DE RESTAURACIÓN DE ECOSISTEMAS ESTRATÉGICOS (DESDE EL PUNTO DE VISTA DE LA ADOPCIÓN DE LA ESTRATEGIA DE SOLUCIONES BASADAS EN LA NATURALEZA (SBN)).</t>
    </r>
  </si>
  <si>
    <r>
      <rPr>
        <b/>
        <sz val="10"/>
        <rFont val="Arial Narrow"/>
        <family val="2"/>
      </rPr>
      <t xml:space="preserve">ACT. 5.2.4. </t>
    </r>
    <r>
      <rPr>
        <sz val="10"/>
        <rFont val="Arial Narrow"/>
        <family val="2"/>
      </rPr>
      <t xml:space="preserve">
IMPLEMENTACIÓN DE ESTRATEGIAS PARA EL MANEJO AMBIENTAL EN TERRITORIOS INDÍGENAS DE LA SIERRA NEVADA DE SANTA MARTA Y SERRANÍA DEL PERIJÁ.</t>
    </r>
  </si>
  <si>
    <r>
      <rPr>
        <b/>
        <sz val="10"/>
        <rFont val="Arial Narrow"/>
        <family val="2"/>
      </rPr>
      <t xml:space="preserve">ACT. 5.2.5. </t>
    </r>
    <r>
      <rPr>
        <sz val="10"/>
        <rFont val="Arial Narrow"/>
        <family val="2"/>
      </rPr>
      <t xml:space="preserve">
IMPLEMENTACIÓN DE ESTRATEGIAS PARA EL MANEJO AMBIENTAL EN COMUNIDADES AFRODESCENDIENTES, OTRAS MINORÍAS ÉTNICAS, Y/O POBLACIONES VULNERABLES EN EL DPTO. DEL CESAR.</t>
    </r>
  </si>
  <si>
    <t xml:space="preserve">PROYECTO 5.3 (3202.008).
GESTIÓN DEL SIRAP (INCLUYE GESTIÓN DE NUEVAS APR)  Y/O CREACIÓN E IMPLEMENTACIÓN DE OTRAS ESTRATEGIAS DE CONSERVACIÓN DE LA BIODIVERSIDAD Y FORMULACIÓN E IMPLEMENTACIÓN Y APOYO DE PM DE AP EN EL DEPARTAMENTO DEL CESAR. </t>
  </si>
  <si>
    <r>
      <rPr>
        <b/>
        <sz val="10"/>
        <rFont val="Arial Narrow"/>
        <family val="2"/>
      </rPr>
      <t xml:space="preserve">ACT. 5.3.1. </t>
    </r>
    <r>
      <rPr>
        <sz val="10"/>
        <rFont val="Arial Narrow"/>
        <family val="2"/>
      </rPr>
      <t xml:space="preserve">
GESTIÓN Y EJECUCIÓN DE ACCIONES ORIENTADAS A LA DECLARATORIA DE AREAS PROTEGIDAS Y/O  CREACIÓN DE ESTRATEGIAS COMPLEMENTARIAS PARA LA CONSERVACIÓN.</t>
    </r>
  </si>
  <si>
    <r>
      <rPr>
        <b/>
        <sz val="10"/>
        <rFont val="Arial Narrow"/>
        <family val="2"/>
      </rPr>
      <t>ACT. 5.3.2.</t>
    </r>
    <r>
      <rPr>
        <sz val="10"/>
        <rFont val="Arial Narrow"/>
        <family val="2"/>
      </rPr>
      <t xml:space="preserve">
FORMULACIÓN E IMPLEMENTACION PLANES DE MANEJO PARA LAS APR Y/O PLANES DE ACCION DE OTRAS ESTRATEGIAS DE CONSERVACIÓN DE LA BIODIVERSIDAD.</t>
    </r>
  </si>
  <si>
    <t>LÍNEA ESTRATÉGICA TRANSVERSAL 2.
GESTIÓN PARA LA CULTURA Y LA EDUCACIÓN AMBIENTAL y LÍNEA ESTRATÉGICA TRANSVERSAL 1 
GESTIÓN PARA EL FORTALECIMIENTO INSTITUCIONAL INTEGRAL.</t>
  </si>
  <si>
    <t>PROGRAMA 6.  3299.
FORTALECIMIENTO DE LA GESTIÓN Y DIRECCIÓN DEL SECTOR AMBIENTE Y DESARROLLO SOSTENIBLE.</t>
  </si>
  <si>
    <t xml:space="preserve">PROYECTO 6.1 (3208.01).
FORTALECIMIENTO DE LA PARTICIPACIÓN CIUDADANA EN LA GESTIÓN AMBIENTAL, CON ENFOQUE DE ETNO-DESARROLLO Y ECOSOCIAL EN EL DPTO. DEL CESAR. </t>
  </si>
  <si>
    <r>
      <rPr>
        <b/>
        <sz val="10"/>
        <rFont val="Arial Narrow"/>
        <family val="2"/>
      </rPr>
      <t xml:space="preserve">ACT. 6.1.1. </t>
    </r>
    <r>
      <rPr>
        <sz val="10"/>
        <rFont val="Arial Narrow"/>
        <family val="2"/>
      </rPr>
      <t xml:space="preserve">
APOYO A LOS GRUPOS MINORITARIOS EN LA FORMULACIÓN DE PLANES DE ETNO-DESARROLLO (COMUNIDADES AFRO) Y PLANES DE VIDA (COMUNIDADES INDÍGENAS).</t>
    </r>
  </si>
  <si>
    <r>
      <rPr>
        <b/>
        <sz val="10"/>
        <rFont val="Arial Narrow"/>
        <family val="2"/>
      </rPr>
      <t xml:space="preserve">ACT. 6.1.2. </t>
    </r>
    <r>
      <rPr>
        <sz val="10"/>
        <rFont val="Arial Narrow"/>
        <family val="2"/>
      </rPr>
      <t xml:space="preserve">
CREACIÓN DE ESCENARIOS DE DIALOGO ENTRE LOS CIUDADANOS Y LAS ENTIDADES PARA EL MANEJO DE CONFLICTOS SOCIOAMBIENTALES EN LA JURISDICCIÓN.</t>
    </r>
  </si>
  <si>
    <t xml:space="preserve">PROYECTO 6.2 (3208.02).
FORTALECIMIENTO Y OPTIMIZACIÓN DEL PROGRAMA TRANSVERSAL DE EDUCACIÓN AMBIENTAL DE LA CORPORACIÓN, ARMONIZADO A LA POLÍTICA NACIONAL DE EDUCACIÓN AMBIENTAL ASOCIADOS A TODOS LOS PROYECTOS DE INVERSIÓN DE LA CORPORACIÓN.  </t>
  </si>
  <si>
    <r>
      <rPr>
        <b/>
        <sz val="10"/>
        <rFont val="Arial Narrow"/>
        <family val="2"/>
      </rPr>
      <t xml:space="preserve">ACT. 6.2.1. </t>
    </r>
    <r>
      <rPr>
        <sz val="10"/>
        <rFont val="Arial Narrow"/>
        <family val="2"/>
      </rPr>
      <t xml:space="preserve">
FORTALECIMIENTO DE LA EDUCACIÓN AMBIENTAL INCORPORANDO EL ENFOQUE DE LAS CÁTEDRAS DE GESTIÓN DEL RIESGO Y CAMBIO CLIMÁTICO, NODOS DE INNOVACIÓN PARA LA EDUCACIÓN AMBIENTAL.</t>
    </r>
  </si>
  <si>
    <r>
      <rPr>
        <b/>
        <sz val="10"/>
        <rFont val="Arial Narrow"/>
        <family val="2"/>
      </rPr>
      <t xml:space="preserve">ACT. 6.2.2. </t>
    </r>
    <r>
      <rPr>
        <sz val="10"/>
        <rFont val="Arial Narrow"/>
        <family val="2"/>
      </rPr>
      <t xml:space="preserve">
FORTALECIMIENTO DE CAPACIDADES A INTEGRANTES DEL SINA, COMO APORTE A LA MODERNIZACIÓN INSTITUCIONAL EN MATERIA DE EDUCACIÓN AMBIENTAL. </t>
    </r>
  </si>
  <si>
    <r>
      <rPr>
        <b/>
        <sz val="10"/>
        <rFont val="Arial Narrow"/>
        <family val="2"/>
      </rPr>
      <t xml:space="preserve">ACT. 6.2.3. </t>
    </r>
    <r>
      <rPr>
        <sz val="10"/>
        <rFont val="Arial Narrow"/>
        <family val="2"/>
      </rPr>
      <t xml:space="preserve">
ACOMPAÑAMIENTO A LA PROMOCIÓN, ORGANIZACIÓN, IMPLEMENTACIÓN E INSTITUCIONALIZACIÓN DE VIGÍAS Y VEEDURÍAS AMBIENTALES.</t>
    </r>
  </si>
  <si>
    <t>PROYECTO 6.3.
PLANEACIÓN,  GESTIÓN E  IMPLEMENTACIÓN DE RECURSOS  PARA OPTIMIZAR LA CAPACIDAD DE DESEMPEÑO INSTITUCIONAL (INFRAESTRUCTURA FÍSICA Y LÓGICA, TECNOLOGÍAS EMERGENTES, RENOVACIÓN TECNOLÓGICA, SEGURIDAD DIGITAL, SOPORTE TÉCNICO OPERACIONAL Y TALENTO DIGITAL) DIRIGIDA AL CUMPLIMIENTO DE LOS OBJETIVOS ESTRATÉGICOS DE LA CORPORACIÓN EN EL MARCO DEL MIPG</t>
  </si>
  <si>
    <r>
      <rPr>
        <b/>
        <sz val="10"/>
        <rFont val="Arial Narrow"/>
        <family val="2"/>
      </rPr>
      <t>ACT. 6.3.1.</t>
    </r>
    <r>
      <rPr>
        <sz val="10"/>
        <rFont val="Arial Narrow"/>
        <family val="2"/>
      </rPr>
      <t xml:space="preserve">
OPTIMIZACIÓN DE LA CAPACIDAD DE RECURSOS FÍSICOS (INFRAESTRUCTURA, HERRAMIENTAS TECNOLÓGICAS INNOVADORAS, TRANSPORTE, MANTENIMIENTO DE EQUIPOS) PARA TODAS LAS SECCIONALES.</t>
    </r>
  </si>
  <si>
    <r>
      <rPr>
        <b/>
        <sz val="10"/>
        <rFont val="Arial Narrow"/>
        <family val="2"/>
      </rPr>
      <t xml:space="preserve">ACT. 6.3.2. </t>
    </r>
    <r>
      <rPr>
        <sz val="10"/>
        <rFont val="Arial Narrow"/>
        <family val="2"/>
      </rPr>
      <t xml:space="preserve">
MEJORAMIENTO DE LOS SISTEMAS DE GESTIÓN ARCHIVÍSTICA (TRD, TVD, PINAR, SIC) Y GESTIÓN DOCUMENTAL (CONSULTA VIRTUAL Y FÍSICA CENTRO DE DOCUMENTACIÓN) SEGÚN PLAN ESPECÍFICO.</t>
    </r>
  </si>
  <si>
    <r>
      <rPr>
        <b/>
        <sz val="10"/>
        <rFont val="Arial Narrow"/>
        <family val="2"/>
      </rPr>
      <t xml:space="preserve">ACT. 6.3.3. </t>
    </r>
    <r>
      <rPr>
        <sz val="10"/>
        <rFont val="Arial Narrow"/>
        <family val="2"/>
      </rPr>
      <t xml:space="preserve">
OPTIMIZACIÓN DEL SISTEMA INTEGRADO DE GESTIÓN DE CALIDAD – SIGC (CALIDAD, SEGURIDAD Y SALUD EN EL TRABAJO Y PIGA) DE LA CORPORACIÓN.</t>
    </r>
  </si>
  <si>
    <r>
      <rPr>
        <b/>
        <sz val="10"/>
        <rFont val="Arial Narrow"/>
        <family val="2"/>
      </rPr>
      <t xml:space="preserve">ACT. 6.3.4. </t>
    </r>
    <r>
      <rPr>
        <sz val="10"/>
        <rFont val="Arial Narrow"/>
        <family val="2"/>
      </rPr>
      <t xml:space="preserve">
FORTALECIMIENTO DEL CONTROL INTERNO DE GESTIÓN EN ARMONÍA CON LA POLÍTICA Y RETOS DEL PGAR (AUDITORIAS).</t>
    </r>
  </si>
  <si>
    <r>
      <rPr>
        <b/>
        <sz val="10"/>
        <rFont val="Arial Narrow"/>
        <family val="2"/>
      </rPr>
      <t xml:space="preserve">ACT. 6.3.5. </t>
    </r>
    <r>
      <rPr>
        <sz val="10"/>
        <rFont val="Arial Narrow"/>
        <family val="2"/>
      </rPr>
      <t xml:space="preserve">
FORTALECIMIENTO DEL BANCO DE PROGRAMAS Y PROYECTOS COMO SOPORTE A LA GESTIÓN DE INVERSIÓN AMBIENTAL DE LA ENTIDAD</t>
    </r>
  </si>
  <si>
    <r>
      <rPr>
        <b/>
        <sz val="10"/>
        <rFont val="Arial Narrow"/>
        <family val="2"/>
      </rPr>
      <t xml:space="preserve">ACT. 6.3.6. </t>
    </r>
    <r>
      <rPr>
        <sz val="10"/>
        <rFont val="Arial Narrow"/>
        <family val="2"/>
      </rPr>
      <t xml:space="preserve">
CONCERTACIÓN, GESTIÓN E IMPLEMENTACIÓN DEL PROGRAMA DE BIENESTAR SOCIAL E INCENTIVOS, Y DE
FORMACIÓN Y CAPACITACIÓN.</t>
    </r>
  </si>
  <si>
    <r>
      <rPr>
        <b/>
        <sz val="10"/>
        <rFont val="Arial Narrow"/>
        <family val="2"/>
      </rPr>
      <t xml:space="preserve">ACT. 6.3.7. </t>
    </r>
    <r>
      <rPr>
        <sz val="10"/>
        <rFont val="Arial Narrow"/>
        <family val="2"/>
      </rPr>
      <t xml:space="preserve">
OPTIMIZACIÓN INTEGRADA DEL SISTEMA DE ATENCIÓN AL CIUDADANO (PQR, VENTANILLA ÚNICA), QUEJAS, SANCIONES AMBIENTALES).</t>
    </r>
  </si>
  <si>
    <t>PROYECTO 6.4. (3204). 
GESTIÓN DE LA INFORMACIÓN Y EL CONOCIMIENTO AMBIENTAL.</t>
  </si>
  <si>
    <r>
      <rPr>
        <b/>
        <sz val="10"/>
        <rFont val="Arial Narrow"/>
        <family val="2"/>
      </rPr>
      <t xml:space="preserve">ACT. 6.4.1. </t>
    </r>
    <r>
      <rPr>
        <sz val="10"/>
        <rFont val="Arial Narrow"/>
        <family val="2"/>
      </rPr>
      <t xml:space="preserve">
GESTIÓN PARA LA IMPLEMENTACIÓN Y OPERACIÓN DE INSTRUMENTOS DE MONITOREO DE LOS RECURSOS NATURALES.</t>
    </r>
  </si>
  <si>
    <r>
      <rPr>
        <b/>
        <sz val="10"/>
        <rFont val="Arial Narrow"/>
        <family val="2"/>
      </rPr>
      <t xml:space="preserve">ACT. 6.4.2. </t>
    </r>
    <r>
      <rPr>
        <sz val="10"/>
        <rFont val="Arial Narrow"/>
        <family val="2"/>
      </rPr>
      <t xml:space="preserve">
OPTIMIZACIÓN DEL LABORATORIO DE CALIDAD DE AIRE.</t>
    </r>
  </si>
  <si>
    <r>
      <rPr>
        <b/>
        <sz val="10"/>
        <rFont val="Arial Narrow"/>
        <family val="2"/>
      </rPr>
      <t xml:space="preserve">ACT. 6.4.3. </t>
    </r>
    <r>
      <rPr>
        <sz val="10"/>
        <rFont val="Arial Narrow"/>
        <family val="2"/>
      </rPr>
      <t xml:space="preserve">
OPTIMIZACIÓN DEL LABORATORIO DE CALIDAD DE AGUA.</t>
    </r>
  </si>
  <si>
    <r>
      <rPr>
        <b/>
        <sz val="10"/>
        <rFont val="Arial Narrow"/>
        <family val="2"/>
      </rPr>
      <t xml:space="preserve">ACT. 6.4.4. </t>
    </r>
    <r>
      <rPr>
        <sz val="10"/>
        <rFont val="Arial Narrow"/>
        <family val="2"/>
      </rPr>
      <t xml:space="preserve">
GESTIÓN PARA LA IMPLEMENTACIÓN DEL LABORATORIO DE SUELO.</t>
    </r>
  </si>
  <si>
    <r>
      <rPr>
        <b/>
        <sz val="10"/>
        <rFont val="Arial Narrow"/>
        <family val="2"/>
      </rPr>
      <t xml:space="preserve">ACT. 6.4.5. </t>
    </r>
    <r>
      <rPr>
        <sz val="10"/>
        <rFont val="Arial Narrow"/>
        <family val="2"/>
      </rPr>
      <t xml:space="preserve">
FORTALECIMIENTO DEL SIPGA – CARDINAL</t>
    </r>
  </si>
  <si>
    <r>
      <rPr>
        <b/>
        <sz val="10"/>
        <rFont val="Arial Narrow"/>
        <family val="2"/>
      </rPr>
      <t xml:space="preserve">ACT. 6.4.6. </t>
    </r>
    <r>
      <rPr>
        <sz val="10"/>
        <rFont val="Arial Narrow"/>
        <family val="2"/>
      </rPr>
      <t xml:space="preserve">
FORTALECIMIENTO DE LOS SISTEMAS DE INFORMACIÓN.</t>
    </r>
  </si>
  <si>
    <r>
      <rPr>
        <b/>
        <sz val="10"/>
        <rFont val="Arial Narrow"/>
        <family val="2"/>
      </rPr>
      <t>ACT. 6.4.7.</t>
    </r>
    <r>
      <rPr>
        <sz val="10"/>
        <rFont val="Arial Narrow"/>
        <family val="2"/>
      </rPr>
      <t xml:space="preserve">
REPORTE Y CARGUE DE LA INFORMACIÓN SOLICITADA POR EL SISTEMA DE INFORMACIÓN AMBIENTAL DE COLOMBIA – SIAC.</t>
    </r>
  </si>
  <si>
    <r>
      <rPr>
        <b/>
        <sz val="10"/>
        <rFont val="Arial Narrow"/>
        <family val="2"/>
      </rPr>
      <t xml:space="preserve">ACT. 6.4.8. </t>
    </r>
    <r>
      <rPr>
        <sz val="10"/>
        <rFont val="Arial Narrow"/>
        <family val="2"/>
      </rPr>
      <t xml:space="preserve">
FORTALECIMIENTO DE LA IMPLEMENTACIÓN DE LA ESTRATEGIA DE COMUNICACIÓN POLÍTICA DE LA GESTIÓN AMBIENTAL PARA LA DIVULGACIÓN INTERINSTITUCIONAL Y APREHENSIÓN CIUDADANA AL SECTOR AMBIENTAL </t>
    </r>
  </si>
  <si>
    <r>
      <rPr>
        <b/>
        <sz val="10"/>
        <rFont val="Arial Narrow"/>
        <family val="2"/>
      </rPr>
      <t xml:space="preserve">ACT. 6.4.9. </t>
    </r>
    <r>
      <rPr>
        <sz val="10"/>
        <rFont val="Arial Narrow"/>
        <family val="2"/>
      </rPr>
      <t xml:space="preserve">
EVALUACIÓN DE LA EVOLUCIÓN DINÁMICA DEL PGAR Y LOS IMPACTOS DE LA GESTIÓN AMBIENTAL SOBRE LA SOSTENIBILIDAD DEL DESARROLLO SOCIO-ECONÓMICO Y LOS INDICADORES MÍNIMOS DE GESTIÓN.</t>
    </r>
  </si>
  <si>
    <r>
      <rPr>
        <b/>
        <sz val="10"/>
        <rFont val="Arial Narrow"/>
        <family val="2"/>
      </rPr>
      <t>ACT. 6.4.10.</t>
    </r>
    <r>
      <rPr>
        <sz val="10"/>
        <rFont val="Arial Narrow"/>
        <family val="2"/>
      </rPr>
      <t xml:space="preserve">
CONSOLIDACIÓN DEL SIAC EN LO RELACIONADO CON LA GENERACIÓN, CONSOLIDACIÓN,ANÁLISIS Y REPORTE EN EL MARCO DEL ACUERDO DE ESCAZÚ.</t>
    </r>
  </si>
  <si>
    <t>PROYECTO 6.5.
CONTROL Y SEGUIMIENTO AMBIENTAL EFECTIVO</t>
  </si>
  <si>
    <r>
      <rPr>
        <b/>
        <sz val="10"/>
        <rFont val="Arial Narrow"/>
        <family val="2"/>
      </rPr>
      <t xml:space="preserve">ACT 6.5.1. </t>
    </r>
    <r>
      <rPr>
        <sz val="10"/>
        <rFont val="Arial Narrow"/>
        <family val="2"/>
      </rPr>
      <t xml:space="preserve">
FORTALECIMIENTO DEL SISTEMA VITALSILAM, SUIT PARA LA OPTIMIZACIÓN DE LOS TRÁMITES AMBIENTALES. (SIAC, SISAIRE, ETC).</t>
    </r>
  </si>
  <si>
    <r>
      <rPr>
        <b/>
        <sz val="10"/>
        <rFont val="Arial Narrow"/>
        <family val="2"/>
      </rPr>
      <t xml:space="preserve">ACT 6.5.2. </t>
    </r>
    <r>
      <rPr>
        <sz val="10"/>
        <rFont val="Arial Narrow"/>
        <family val="2"/>
      </rPr>
      <t xml:space="preserve">
ADQUISICIÓN DE EQUIPOS PARA EL FORTALECIMIENTO DE LAS LABORES DE CONTROL Y SEGUIMIENTO AMBIENTAL.</t>
    </r>
  </si>
  <si>
    <r>
      <rPr>
        <b/>
        <sz val="10"/>
        <rFont val="Arial Narrow"/>
        <family val="2"/>
      </rPr>
      <t xml:space="preserve">ACT 6.5.3. </t>
    </r>
    <r>
      <rPr>
        <sz val="10"/>
        <rFont val="Arial Narrow"/>
        <family val="2"/>
      </rPr>
      <t xml:space="preserve">
OPTIMIZACIÓN DE LOS PROCESOS DE TRÁMITES AMBIENTALES Y SERVICIOS MISIONALES DE LA CORPORACIÓN.</t>
    </r>
  </si>
  <si>
    <r>
      <rPr>
        <b/>
        <sz val="10"/>
        <rFont val="Arial Narrow"/>
        <family val="2"/>
      </rPr>
      <t xml:space="preserve">ACT 6.5.4. </t>
    </r>
    <r>
      <rPr>
        <sz val="10"/>
        <rFont val="Arial Narrow"/>
        <family val="2"/>
      </rPr>
      <t xml:space="preserve">
FORTALECIMIENTO DEL PROCESO DE SEGUIMIENTO DE LOS PROYECTOS DE INVERSION ADELANTADOS POR LA ENTIDAD </t>
    </r>
  </si>
  <si>
    <t>PROYECTO 6.6.
GESTIÓN PARA LA OPTIMIZACIÓN DE LA CAPACIDAD FINANCIERA Y EJECUTORIA DE LA GESTIÓN AMBIENTAL DE LA CORPORACIÓN.</t>
  </si>
  <si>
    <r>
      <rPr>
        <b/>
        <sz val="10"/>
        <rFont val="Arial Narrow"/>
        <family val="2"/>
      </rPr>
      <t xml:space="preserve">ACT. 6.6.1. </t>
    </r>
    <r>
      <rPr>
        <sz val="10"/>
        <rFont val="Arial Narrow"/>
        <family val="2"/>
      </rPr>
      <t xml:space="preserve">
OPTIMIZACIÓN DEL PROCESO OPERATIVO DE LA TUA CON ENFOQUE DE CAMBIO CLIMÁTICO.</t>
    </r>
  </si>
  <si>
    <r>
      <rPr>
        <b/>
        <sz val="10"/>
        <rFont val="Arial Narrow"/>
        <family val="2"/>
      </rPr>
      <t xml:space="preserve">ACT. 6.6.2. </t>
    </r>
    <r>
      <rPr>
        <sz val="10"/>
        <rFont val="Arial Narrow"/>
        <family val="2"/>
      </rPr>
      <t xml:space="preserve">
GESTIÓN DE FUENTES DIFERENTES A LAS TASAS RAE.</t>
    </r>
  </si>
  <si>
    <r>
      <rPr>
        <b/>
        <sz val="10"/>
        <rFont val="Arial Narrow"/>
        <family val="2"/>
      </rPr>
      <t xml:space="preserve">ACT. 6.6.3. </t>
    </r>
    <r>
      <rPr>
        <sz val="10"/>
        <rFont val="Arial Narrow"/>
        <family val="2"/>
      </rPr>
      <t xml:space="preserve">
GESTIÓN E IMPLEMENTACIÓN DE ESTRATEGIA DE FINANCIAMIENTO Y EJECUCIÓN (FONDO SOLIDARIO PARA LA GESTIÓN AMBIENTAL – FSGA-)</t>
    </r>
  </si>
  <si>
    <t>TOTAL PRESUPUESTO DE GASTOS DE INVERSIÓN:</t>
  </si>
  <si>
    <t>(15) AVANCE DE LOS RECURSOS COMPROMETIDOS 
(Recursos comprometidos periodo Evaluado) ($)</t>
  </si>
  <si>
    <t>(20) OBLIGACIONES DE LA RESERVA $</t>
  </si>
  <si>
    <t>(21) PORCENTAJE DE AVANCE EJECUCIÓN DE LA RESERVA $ (20/19)</t>
  </si>
  <si>
    <t>(22) META FINANCIERA DEL PAC ($)</t>
  </si>
  <si>
    <t>Act. 4.2.2. Priorización, gestión y ejecución de acciones de conocimiento del riesgo en áreas específicas de ecosistemas suceptibles de afectación.</t>
  </si>
  <si>
    <t>PROGRAMA 3 (3203) GESTIÓN INTEGRAL DEL RECURSO HÍDRICO.  Proyecto 3.1 (3203.01) Documentos de lineamientos técnicos para la gestión integral del recurso hídrico y materialización de la gobernanza en el marco de la PNGIRH, en el dpto. del Cesar.</t>
  </si>
  <si>
    <t>2801-01</t>
  </si>
  <si>
    <t>Guatapurí</t>
  </si>
  <si>
    <t>88.987,97 ha</t>
  </si>
  <si>
    <t>Aprobado</t>
  </si>
  <si>
    <t>2805-02</t>
  </si>
  <si>
    <t>Bajo Cesar Cienaga de Zapatosa</t>
  </si>
  <si>
    <t>627.350,23 ha</t>
  </si>
  <si>
    <t>Compartido, CORPAMAG</t>
  </si>
  <si>
    <t>2802-08</t>
  </si>
  <si>
    <t>Calenturitas</t>
  </si>
  <si>
    <t>128.828,00 ha</t>
  </si>
  <si>
    <t>2319-03</t>
  </si>
  <si>
    <t>Lebrija Medio (cuenca compartida)</t>
  </si>
  <si>
    <t>compartido con la CBC, CDMB, CAR, CORPONOR</t>
  </si>
  <si>
    <t>Algodonal</t>
  </si>
  <si>
    <t>Compartido con CORPONOR</t>
  </si>
  <si>
    <t>2321-01</t>
  </si>
  <si>
    <t>Quebrada Buturama y otros directos al Magdalena medio</t>
  </si>
  <si>
    <t>Directo Bajo Magdalena entre el Banco y Plato</t>
  </si>
  <si>
    <t>2802-03</t>
  </si>
  <si>
    <t>Chiriaimo - Manaure</t>
  </si>
  <si>
    <t>Compartido, Corpoguajira</t>
  </si>
  <si>
    <t>2802-04</t>
  </si>
  <si>
    <t>Magiriaimo</t>
  </si>
  <si>
    <t>Sistema Acuífero Cesar - SAC 4.1</t>
  </si>
  <si>
    <t>Cuaré</t>
  </si>
  <si>
    <t xml:space="preserve"> aprobado</t>
  </si>
  <si>
    <t>Tocaimo</t>
  </si>
  <si>
    <t>En fase de diagnóstico</t>
  </si>
  <si>
    <t>Singararé</t>
  </si>
  <si>
    <t>Compartidos</t>
  </si>
  <si>
    <t>Corporación Autónoma Regional del Cesar</t>
  </si>
  <si>
    <t>Subdirección de Gestión Ambiental</t>
  </si>
  <si>
    <t>Mónica Inés González Thomas</t>
  </si>
  <si>
    <t>Subdirector</t>
  </si>
  <si>
    <t>subdirector.ambiental@corpocesar.gov.co</t>
  </si>
  <si>
    <t>Km 1 Vía a La Paz - Valledupar</t>
  </si>
  <si>
    <t>PROGRAMA 3 (3203) GESTIÓN INTEGRAL DEL RECURSO HÍDRICO.</t>
  </si>
  <si>
    <t>Subdirección de Gestion Ambiental</t>
  </si>
  <si>
    <t>gestionambiental@corpocesar.gov.co</t>
  </si>
  <si>
    <t>PROGRAMA  2 (3206). GESTIÓN DEL CAMBIO CLIMÁTICO PARA UN DESARROLLO BAJO EN CARBONO Y RESILIENTE AL CLIMA, Act. 2.2.4. (3206.07) Servicio de articulación para la gestión del cambio climático en la toma de decisiones sectoriales y territoriales.
Fortalecimiento de la participación y gestión de CORPOCESAR, en el Nodo Regional de Cambio Climático -NRCC- del Caribe.
Incluye todas las acciones promovidas por el gobierno nacional, intra, e interinstitucional para incidir con consideraciones de cambio climático en los instrumentos de planeación de los sectores y territorios.</t>
  </si>
  <si>
    <t>Subdirección General Área Gestión Ambiental</t>
  </si>
  <si>
    <t>Km 1 Vía a La Paz UIC Casa e Campo Frente a la Feria Ganadera</t>
  </si>
  <si>
    <t xml:space="preserve">PROGRAMA 6 (3299) FORTALECIMIENTO DE LA GESTIÓN Y DIRECCIÓN DEL SECTOR AMBIENTE Y DESARROLLO SOSTENIBLE. Proyecto 6.2 (3208.02) Fortalecimiento y optimización del programa transversal de Educación Ambiental de la Corporación, armonizado a la Política Nacional de Educación Ambiental asociados a todos los proyectos de inversión de la Corporación. </t>
  </si>
  <si>
    <t>PROGRAMA 5.  3202 CONSERVACIÓN DE LA BIODIVERSIDAD Y SUS SERVICIOS ECOSISTÉMICOS Proyecto 5.3 (3202.008)Gestión del SIRAP (incluye gestión de nuevas APR)  y/o creación e implementación de otras estrategias de conservación de la biodiversidad y formulación e implementación y apoyo de PM de AP en el departamento del Cesar.</t>
  </si>
  <si>
    <t>PROGRAMA 5.  (3202) CONSERVACIÓN DE LA BIODIVERSIDAD Y SUS SERVICIOS ECOSISTÉMICOS. Proyecto 5.2 (3202049) Fortalecimiento, gestión e implementación de medidas para el manejo de la fauna y flora, en el departamento del Cesar.</t>
  </si>
  <si>
    <t>Paramo serrania del Perija(Se adelanto gestion con CORPOGUAJIRA para suscribir la comision conjunta para desarrollar el PM del paramo, se manifiesta que el 84% del paramo delimitado se encuentra declarado como un parque natural regional el cual ya cuenta con su respectivo PM el cual fue formulado y adoptado por la corporacion en 2019 teniendo en cuenta lo establecido y solicitado por el MADS) Sierra Nevada de Santa Marta (Se adelanto  gestion con CORPAMAG  y Parques Nacionales para desarrollar el PM el 94% de este paramo hace parte del Parque natural sierra nevada de santa marta que cuenta con su PM ); se aclara que lo consignado en realcion a "paramos delimitados por el MADS (númeo) Ubicados en la jurisdicción de la Corporación" no era acumulativo, se aclara que esto solo se dió en la vigencia 2019."</t>
  </si>
  <si>
    <t>La Corporación formuló y adoptó el POF en vigencias anteriores. Es decir, la meta se cumplió desde la vigencia 2016 que fue adoptado el POF según resolución 1235 de 2017</t>
  </si>
  <si>
    <t>PROGRAMA 5.  (3202) CONSERVACIÓN DE LA BIODIVERSIDAD Y SUS SERVICIOS ECOSISTÉMICOS. Proyecto 5.3 (3202.08) Gestión del SIRAP y/o implementación de otras estrategias de conservación de la biodiversidad y formulación e implementación y apoyo de PM de AP en el departamento del Cesar.</t>
  </si>
  <si>
    <t>PROGRAMA 5.  (3202) CONSERVACIÓN DE LA BIODIVERSIDAD Y SUS SERVICIOS ECOSISTÉMICOS. Proyecto 5.2 (3202.049) Fortalecimiento, gestión e implementación de medidas para el manejo de la fauna y flora, en el departamento del Cesar.</t>
  </si>
  <si>
    <t>ACUERDO_003_DEL_17_DE_MAYO_DE_2024 (Por medio del cual se aprueba el Plan de Acción Cuatrienal 2024-2027)</t>
  </si>
  <si>
    <t xml:space="preserve">ODS 12: Garantizar modalidades de consumo y producción sostenibles </t>
  </si>
  <si>
    <t xml:space="preserve">ODS 7: Garantizar el acceso a una energía asequible, segura, sostenible y moderna para todos.  ODS 13: Adoptar medidas urgentes para combatir el cambio climático y sus efectos. </t>
  </si>
  <si>
    <t xml:space="preserve">ODS 13: Adoptar medidas urgentes para combatir el cambio climático y sus efectos. </t>
  </si>
  <si>
    <t>ODS 6:  Garantizar la disponibilidad de agua y su gestión sostenible y el saneamiento para todos</t>
  </si>
  <si>
    <t xml:space="preserve">ODS 6: Garantizar la disponibilidad de agua y su gestión sostenible y el saneamiento para todos.  ODS 11: Lograr que las ciudades y los asentamientos humanos sean inclusivos, seguros, resilientes y sostenibles.  ODS 15: Promover el uso sostenible de los ecosistemas terrestres, luchar contra la desertificación, detener e invertir la degradación de las tierras y frenar la pérdida de la diversidad biológica. </t>
  </si>
  <si>
    <t>Todos los ODS  En especial el  ODS 17:  ALIANZA PARA LOGRAR LOS OBJETIVOS</t>
  </si>
  <si>
    <t xml:space="preserve">Porcentaje de áreas de ecosistemas en restauración, rehabilitación y reforestación </t>
  </si>
  <si>
    <t>Implementación del programa regional de negocios verdes por la autoridad ambienta</t>
  </si>
  <si>
    <t xml:space="preserve">Porcentaje de entes territoriales asesorados en la incorporación, planificación y ejecución de acciones relacionadas con cambio climático en el marco de los instrumentos de planificación territorial </t>
  </si>
  <si>
    <t xml:space="preserve">Ejecución de acciones en mitigación de GEI y/o adaptación al cambio climático </t>
  </si>
  <si>
    <t xml:space="preserve">Porcentaje de Planes de Ordenación y Manejo de Cuencas (POMCAS), Planes de Manejo de Acuíferos (PMA) y Planes de Manejo de Microcuencas (PMM) formulados </t>
  </si>
  <si>
    <t>Porcentaje de cuerpos de agua con plan de ordenamiento del recurso hídrico (PORH) adoptados</t>
  </si>
  <si>
    <t xml:space="preserve">Porcentaje de Programas de Uso Eficiente y Ahorro del Agua (PUEAA) con seguimiento </t>
  </si>
  <si>
    <t xml:space="preserve">Porcentaje de cuerpos de agua con reglamentación del uso de las aguas </t>
  </si>
  <si>
    <t>Porcentaje de Planes de Gestión Integral de Residuos Sólidos (PGIRS) con seguimiento</t>
  </si>
  <si>
    <t xml:space="preserve">Porcentaje de sectores con acompañamiento para la reconversión hacia sistemas sostenibles de producción </t>
  </si>
  <si>
    <t xml:space="preserve">Porcentaje de municipios con seguimiento al cumplimiento de los asuntos ambientales concertados de los POT adoptados </t>
  </si>
  <si>
    <t xml:space="preserve">Ejecución de acciones en conocimiento y reducción del riesgo y manejo de desastres. </t>
  </si>
  <si>
    <t>Porcentaje de áreas protegidas regionales declaradas e inscritas en el RUNAP</t>
  </si>
  <si>
    <t>Porcentaje de especies amenazadas con medidas de manejo en ejecución Porcentaje de especies invasoras con medidas de manejo en ejecución</t>
  </si>
  <si>
    <t xml:space="preserve">Porcentaje de áreas de ecosistemas en restauración, rehabilitación y reforestación  </t>
  </si>
  <si>
    <t xml:space="preserve">Porcentaje de páramos delimitados, con zonificación y con régimen de usos   </t>
  </si>
  <si>
    <t>Ejecución de acciones en gestión ambiental urbana</t>
  </si>
  <si>
    <t>Ejecución de acciones en educación ambienta</t>
  </si>
  <si>
    <t>Porcentaje de actualización y reporte de la información en el SIAC.</t>
  </si>
  <si>
    <t xml:space="preserve">Porcentaje de autorizaciones ambientales resueltas dentro de los tiempos establecidos por la ley </t>
  </si>
  <si>
    <t xml:space="preserve">Porcentaje de autorizaciones ambientales con seguimiento </t>
  </si>
  <si>
    <t xml:space="preserve">Porcentaje de actualización y reporte de la información en el SIAC. </t>
  </si>
  <si>
    <t xml:space="preserve"> Fortalecimiento del desempeño ambiental de los sectores productivos </t>
  </si>
  <si>
    <t>Gestión del cambio climático para un desarrollo bajo en carbono y resiliente al clima</t>
  </si>
  <si>
    <t xml:space="preserve">Gestión integral del recurso hídrico </t>
  </si>
  <si>
    <t xml:space="preserve">Ordenamiento ambiental territorial </t>
  </si>
  <si>
    <t xml:space="preserve">Conservación de la biodiversidad y sus servicios ecosistémicos </t>
  </si>
  <si>
    <t xml:space="preserve">Fortalecimiento de la gestión y dirección del Sector Ambiente y Desarrollo Sostenible </t>
  </si>
  <si>
    <t xml:space="preserve">Educación Ambiental </t>
  </si>
  <si>
    <t>Fortalecimiento de la gestión y dirección del Sector Ambiente y Desarrollo Sostenible</t>
  </si>
  <si>
    <t xml:space="preserve">Gestión de la información y el conocimiento ambiental </t>
  </si>
  <si>
    <t>Gestión de la información y el conocimiento ambiental  -  Fortalecimiento del desempeño ambiental de los sectores productivos</t>
  </si>
  <si>
    <t>TURISMO
AGRICOLA
COMERCIO</t>
  </si>
  <si>
    <t>FORTALECIMIENTO EN LA BIOECONOMIA</t>
  </si>
  <si>
    <t>IMPLEMENTACIÓN DE ACCIONES DE BIOECONOMÍA Y NEGOCIOS VERDES SOSTENIBLES DE ECO REGIONES DEL DEPARTAMENTO DE CESAR, TENDIENTE AL FORTALECIMIENTO DE LA OFERTA INSTITUCIONAL EN PRODUCTIVIDAD SOSTENIBLE PARA LA RESILIENCIA Y CONSERVACIÓN DE LOS RECURSOS NATURALES EN EL CESAR</t>
  </si>
  <si>
    <t>PROGRAMA 1. (3201) FORTALECIMIENTO DEL DESEMPEÑO AMBIENTAL DE LOS SECTORES PRODUCTIVOS. Proyecto 1.1. (3201.01) 
Gestión e implementación de estrategias para la recuperación y conservación de la flora y fauna en el Departamento del Cesar. Act. 1.1.1. (3201.01.03) Gestión de sistemas bajo esquemas de PSA e incentivos a la conservación: Fortalecimiento de capacidades (instrumentación jurídica, gestión y articulación institucional, evaluación y seguimiento, y sostenibilidad financiera.
Implementación del banco de proyectos de PSA. Dinamización el Registro Único de Ecosistemas y Áreas Ambientales (REAA).</t>
  </si>
  <si>
    <t>PROGRAMA 1. (3201) FORTALECIMIENTO DEL DESEMPEÑO AMBIENTAL DE LOS SECTORES PRODUCTIVOS. Proyecto 1.1. (3201.01) Gestión e implementación de estrategias para la recuperación y conservación de la flora y fauna en el Departamento del Cesar.</t>
  </si>
  <si>
    <t>FORTALECIMIENTO DE NEGOCIOS VERDES</t>
  </si>
  <si>
    <t xml:space="preserve">PROGRAMA 1. (3201) FORTALECIMIENTO DEL DESEMPEÑO AMBIENTAL DE LOS SECTORES PRODUCTIVOS. Proyecto1.2 (3201.03). Gestión y apoyo regional a la implementación de la estrategia nacional de Economía circular y economía ambiental para la producción sostenible, articulado a las apuestas del Proyecto 2.1. Act. 1.2.2 (3201.003): Servicio de asistencia técnica para la consolidación de negocios verdes.
Promover modelos de negocios con enfoque en economía circular a través de proyectos de cadenas de suministros circulares, plataformas colaborativas, modelos para extender la vida útil de los materiales, responsabilidad extendida del productor, entre otros, incorporando habilitadores como incentivos económicos y no económicos, gobernanza, financiamiento, empleos verdes e innovación tecnológica. </t>
  </si>
  <si>
    <t>TL.A. Tiempo efectivo de duración del trámite de otorgamiento de concesión de agua (número de días)</t>
  </si>
  <si>
    <t>PROGRAMA 6.  (3299) FORTALECIMIENTO DE LA GESTIÓN Y DIRECCIÓN DEL SECTOR AMBIENTE Y DESARROLLO SOSTENIBLE. Proyecto 6.4. (3204) Gestión de la Información y el conocimiento ambiental</t>
  </si>
  <si>
    <t>Número de permisos de aprovechamiento forestal vigentes a 31/12/2023</t>
  </si>
  <si>
    <t>Número de usuarios de permisos de aprovechamiento forestal a 31/12/2023</t>
  </si>
  <si>
    <t>Número de puntos de vertimientos a 31/12/2023</t>
  </si>
  <si>
    <t>Número de permisos de vertimiento de agua otorgadas a 31/12/2023</t>
  </si>
  <si>
    <t>Número de usuarios de vertimientos de agua a 31/12/2023</t>
  </si>
  <si>
    <t>Número de captaciones de agua otorgadas a 31/12/2023</t>
  </si>
  <si>
    <t>Número de concesiones de agua otorgadas a 31/12/2023</t>
  </si>
  <si>
    <t>Número de usuarios de agua a 31/12/2023</t>
  </si>
  <si>
    <t xml:space="preserve">OBRAS CIVILES </t>
  </si>
  <si>
    <t>RELLENOS SANITARIOS</t>
  </si>
  <si>
    <t xml:space="preserve">PALMICULTOR </t>
  </si>
  <si>
    <t>LACTEOS</t>
  </si>
  <si>
    <t xml:space="preserve">PORTUARIO </t>
  </si>
  <si>
    <t>ENERGETICO</t>
  </si>
  <si>
    <t xml:space="preserve">MINERIA </t>
  </si>
  <si>
    <t>Número total de licencias ambientales vigentes y aprobadas por la Corporación a 31/12/2023:</t>
  </si>
  <si>
    <t>PROGRAMA 4. (3205) ORDENAMIENTO AMBIENTAL TERRITORIAL. Proyecto 4.1 (3205.01)
 Fortalecimiento del proceso de Ordenamiento Territorial como estrategia para promover el desarrollo territorial sostenible, en el dpto. del Cesar, enfocada a la atención interinstitucional de tres crisis ambientales globales.</t>
  </si>
  <si>
    <t>SVCA DE CORPOCESAR (VALLEDUPAR)</t>
  </si>
  <si>
    <t>SEVCA DE CORPOCESAR (ZONA MINERA)</t>
  </si>
  <si>
    <t>Empalme con nuevo operador, problemnas para la descarga de Datos</t>
  </si>
  <si>
    <t>El equipo el Octubre no opero por falta de contrato</t>
  </si>
  <si>
    <t>EQUIPO SE DESMONTA Y SE ENTREGA A DRUMMONT</t>
  </si>
  <si>
    <t>Valledupar</t>
  </si>
  <si>
    <t xml:space="preserve"> Rincón Hondo</t>
  </si>
  <si>
    <t xml:space="preserve">Boquerón </t>
  </si>
  <si>
    <t>La Aurora</t>
  </si>
  <si>
    <t xml:space="preserve"> La Loma de Calentura</t>
  </si>
  <si>
    <t>Jagua de Ibirico</t>
  </si>
  <si>
    <t>La Loma de Calentura</t>
  </si>
  <si>
    <t>PMI1V</t>
  </si>
  <si>
    <t>V4 Bomberos</t>
  </si>
  <si>
    <t>V1 Seminario</t>
  </si>
  <si>
    <t xml:space="preserve"> ZM12 Rincon Hondo</t>
  </si>
  <si>
    <t>ZM6 Boquerón</t>
  </si>
  <si>
    <t xml:space="preserve">ZM5 La Aurora </t>
  </si>
  <si>
    <t xml:space="preserve"> ZM3 Loma 2</t>
  </si>
  <si>
    <t>ZM2 Jagua Centro</t>
  </si>
  <si>
    <t xml:space="preserve">ZM6 Boquerón </t>
  </si>
  <si>
    <t>ZM5 La Aurora</t>
  </si>
  <si>
    <t>ZM3 Loma 2</t>
  </si>
  <si>
    <t>ZM1 Loma Centro</t>
  </si>
  <si>
    <t>fallas en el equipo durante todo el mes de nov</t>
  </si>
  <si>
    <t xml:space="preserve"> Casacará</t>
  </si>
  <si>
    <t>La Victoria</t>
  </si>
  <si>
    <t xml:space="preserve"> La Loma de Calentura </t>
  </si>
  <si>
    <t xml:space="preserve">Becerril </t>
  </si>
  <si>
    <t>Chiriguaná</t>
  </si>
  <si>
    <t xml:space="preserve">El Hatillo </t>
  </si>
  <si>
    <t xml:space="preserve"> La Palmita </t>
  </si>
  <si>
    <t>PM1V</t>
  </si>
  <si>
    <t>ZM22 Casacara</t>
  </si>
  <si>
    <t xml:space="preserve"> ZM21 La Victoria</t>
  </si>
  <si>
    <t>ZM20 Costa Hermosa</t>
  </si>
  <si>
    <t xml:space="preserve"> ZM19 Becerril </t>
  </si>
  <si>
    <t xml:space="preserve"> ZM15 Chiriguana </t>
  </si>
  <si>
    <t>ZM13 El Hatillo</t>
  </si>
  <si>
    <t xml:space="preserve"> ZM9 Jagua Vía </t>
  </si>
  <si>
    <t>ZM4 La Palmita</t>
  </si>
  <si>
    <t>PROGRAMA 6.  (3299) FORTALECIMIENTO DE LA GESTIÓN Y DIRECCIÓN DEL SECTOR AMBIENTE Y DESARROLLO SOSTENIBLE. Proyecto 6.4. (3204) Gestión de la Información y el conocimiento ambiental.</t>
  </si>
  <si>
    <t xml:space="preserve">PROGRAMA 6.  (3299) FORTALECIMIENTO DE LA GESTIÓN Y DIRECCIÓN DEL SECTOR AMBIENTE Y DESARROLLO SOSTENIBLE. Proyecto 6.2 (3208.02)
Fortalecimiento y optimización del programa transversal de Educación Ambiental de la Corporación, armonizado a la Política Nacional de Educación Ambiental asociados a todos los proyectos de inversión de la Corporación. </t>
  </si>
  <si>
    <t xml:space="preserve">En primer lugar, mediante oficios se solicitó espacio y se envió la matriz de seguimiento al componente programático de los POMCAS a cada uno de los municipios con jurisdicción de POMCA.
También se realizaron jornadas de vistas a los diferentes municipios del departamento del cesar con jurisdicción de POMCA adoptado, con el fin de realizar seguimiento a través de la Matriz de seguimiento a los Programas u/o Proyectos ejecutados o por ejecutar por los municipios teniendo en cuenta el componente programático de los POMCAS para la vigencia 2024, a continuación, se relacionan las diferentes jornadas:  
Primera: del 8 de mayo al 10 de mayo del 2024, se visitaron los municipios de Aguachica, San Martin, Gamarra, Rio de Oro y Gonzales 
Segunda: del 17 al 19 de julio del 2024, se visitaron los municipios de Chimichagua, El Paso, Tamalameque y Astrea.
Tercera: del 13 al 15 de agosto del 2024, se visitaron los municipios de Codazzi, Becerril, La Jagua de Ibirico, Chiriguana y Curumani.
Cuarta: del 13 al 15 de agosto del 2024, se visitaron los Municipios de La Paz, San Diego, Manaure, Pueblo Bello y Valledupar.
Finalmente, se informa acerca de los municipios que dieron a conocer a los Programas u/o Proyectos ejecutados o por ejecutar por los municipios teniendo en cuenta el componente programático de los POMCAS para la vigencia 2024 fueron: Pueblo Bello, Becerril, Aguachica, Gamarra, Rio de Oro y San Martin.
Así mismo, de acuerdo al proyecto financiado por regalias denominado: ESTUDIOS Y FORMULACIÓN DEL PLAN DE RESTAURACIÓN ECOLÓGICA DEL RÍO CESAR Y SU BOSQUE RIPARIO, JURISDICCIÓN DE LOS DEPARTAMENTOS DEL CESAR Y LA GUAJIRA, se dio cumplimiento a muchos de los programas establecidos dentro del POMCA Rio Bajo Cesar – Cienaga Zapatosa, debido a la transversalidad de este proyecto con muchos de los ejes programáticos establecidos en dicho POMCA. </t>
  </si>
  <si>
    <t>ASOCIACIÓN MUTUAL DE PROSUMIDORES AGROECOLOGÍCOS AGROSOLIDARIA CODAZZÍ
ASOCIACIÓN DE PRODUCTORES AGROINDUSTRIALES DEL CENTRO DEL CESAR - APAGROINC
ASOCIACIÓN DE PRODUCTORES AGRÍCOLAS DEL CESAR - ASPRACES
ASOCIACIÓN DE TÉCNICOS, PROFESIONALES Y PRODUCTORES EN PRO DE LA SERRANÍA DEL PERIJÁ - ASOTEPROS – XAGUA GOURMET
ASOCIACIÓN COMUNITARIA DE MUJERES ARTESANAS TEJIENDO SABERES DE PUEBLO BELLO CESAR (TEJIENDOSABERESPB)
ASOCIACIÓN DE PRODUCTORES AGROECOLÓGICOS DE LA SIERRA NEVADA DE SANTA MARTA - ASOPROKIA
ASOCIACIÓN DE PRODUCTORES AGROECOLÓGICOS INDÍGENAS KANKUAMOS DE LA SIERRA NEVADA DE SANTA MARTA - ASOPROKAN
ASOCIACIÓN DE PRODUCTORES AGROECOLÓGICOS INDÍGENAS Y CAMPESINOS DE LA SIERRA NEVADA DE SANTA MARTA Y LA SERRANÍA DEL PERIJÁ - ASOANEI
ASOCIACIÓN DE PRODUCTORES ORGÁNICOS ARHUACOS Y CAMPESINOS SIERRA NEVADA DE SANTA MARTA Y SERRANÍA DEL PERIJÁ - ASOPROCASINES  - CAFÉ NACER
ASOCIACIÓN DE PRODUCTORES ORGANICOS DE LA SIERRA NEVADA DE SANTA MARTA - ASOPROSIN
ASOCIACIÓN PRODUCTORES DEL CARIBE Y DE LA SIERRA NEVADA DE SANTA MARTA - ASOPRODCAS
ASOCIACIÓN DE PRODUCTORES AGROPECUARIOS DE LOS ENCANTOS - ASOPROAGRO
CRIADERO OVINO CANAAN S.A.S
"FINCA GANADERA DOBLE PROPOSITO
CASANARE SUR"
FUNDACIÓN MANATÍ
ASOCIACION DE PEQUEÑOS PRODUCTORES AGROPECUARIOS DEL CORREGIMIENTO DE AZUCAR BUENA LA MESA DE VALLEDUPAR - APRAMESA
ASOCIACIÓN DE FAMILIAS PRODUCTORAS INDÍGENAS SEYNEKUN
ASOCIACIÓN DE PRODUCTORES ORGÁNICO AGROPECUARIOS - ASOPROAGROGAR
FUNDACIÓN ECOLÓGICA AMBIENTE SANO - FECASA
SOCIEDAD COOPERATIVA DE ECOLOGISTAS COLOMBIANOS - COAMBIENTAL - EL SEÑOR DE LAS ABEJAS
VIDECCO S.A.S. BIC
ASOCIACIÓN DE ARTESANOS DE CHIMICHAGUA - ASOARCHI 
SCALEA S.A.S 
AGROSOLIDARIA SECCIONAL LA PAZ
MANAURE AVENTURA S.A.S.
ELMER JAIMES ARTE Y DECORACIONES
INDUSTRIAS YOTOJORO S.A.S.
PASEOVALLENATO TOUR
PROCESADORA Y COMERCIALIZADORA DE ORIGEN DE LA SIERRA NEVADA S.A.S - PROCOMSN S.A.S -  LA TIENDA DEL CAFE KATAKANAN 
PAISAJE VERDE SERVICIOS
ASOCIACIÓN PARA LA PROTECCIÓN AMBIENTAL Y AGROPECUARIA DE PAILITAS CESAR
SOLUCIONES ECOLÓGICAS DEL CESAR S.A.S
EMPRESA AGROINDUSTRIAL BANFRUT S.A.S
MIELES LA TRANQUILIDAD S.A.S.
ASOCIACIÓN DE PRODUCTORES DE CAFÉ ORGÁNICO SIERRA NEVADA - ASOPROCAFE
BIOMAPES LIMPIADORES
COMARCA TOURING
COMERSANO S.A.S.
COOPERATIVA MULTIACTIVA DE SERVICIOS AMBIENTALES Y DE ASEO APROVECHABLE - COOMSERVAR EPSA
GASES INDUSTRIALES DE LOS SANTANDER
HOSTAL SANTA HELENA DEL VALLE
INDUSTRIA DIMAR S.A.S.
ISAYA GREEN GROUP
SATELITE SERVICIOS INTEGRADOS S.A.S
ASOCIACIÓN DE AGRICULTORES DE LA SIERRA NEVADA DE SANTA MARTA Y SERRANÍA DEL PERIJÁ - ENTRESIERRAS
FUNDACIÓN BOQUERON RECICLA
FUNDACIÓN LA VICTORIA RECICLA
ASOCIACIÓN DE AUTORIDADES ARHUACAS DE LA SIERRA NEVADA - ASOCIT
ASOCIACIÓN DE TURISMO COMUNITARIO DE PUEBLO BELLO CESAR - ATURISCOPBC
ASOCIACIÓN SEYKEYNOWA
CAJA DE COMPENSACIÓN FAMILAR DEL CESAR - COMFACESAR
CONSERVERA DON GEO
PRODUCTOS EL VALLE S.A.S.
ECOENERLIMP
LA CONSERVA NATURAL Y ENCANTADOR
LÁCTEOS DICFRES
LALY ORGANICS
PICANTE LEO
CENTRO TURÍSTICO Y ECOLÓGICO - VILLA ADELAIDA S.A.S.
ASOCIACIÓN DE GESTORES INTEGRALES AL SERVICIO DEL MEDIO AMBIENTE - ASOGEMED
COSMÉTICA ARTESANAL Y ESENCIAL CAYE
SERVICIOS TECNOLÓGICOS INTERNACIONALES - ITS QUARK S.A.S.
FRANCACHELA ISLAND
INGEQUILIBRIO S.A.S. BIC
SIELECTRONIC S.A.S.
ASOCIACIÓN DE MUJERES ARTESANAS DE LA SIERRA NEVADA DE SANTA MARTA - ARTESANAS DE LA SIERRA
VICTORIAVENTURA S.A.S.
SOLUCIONES SOLARES INTEGRALES
AGROSOLMAN S.A.S.
AGUSTÍN DE LA SIERRA S.A.S.
FUNDACIÓN TÜ RIES
CARIBE + LIMPIO S.A.S.
MORITA PALETTERIA
AGROPECUARIA CARS S.A.S.
ASOCIACIÓN TRANSFORMADORA DEL CACAO DE LA SIERRA
ECOSOLAR COLOMBIA IA S.A.S.
DELICIAS MYRIAM
COOPERATIVA MULTIACTIVA DE RECICLADORES RENACER DE VALLEDUPAR E.S.P. - COORRENACER
OROZUL RECYCLING
TIENDA CALA
CAFÉ MABÉN S.A.S 
DELITCHA
LA MELLITA MARKET
ESENCIA NATTU
ASOCIACION ARSIRECUPERADORES E.S.P
CREANDOCREANDO S.A.S
BIOSAVIA
JAGUATUR 2021 S.A.S
FUNDACION YO AMO LA PALMITA
C.E. PROJECT MANAGEMENT S.A.S.
ESPECIALIDADES DE ARIEL
CAFÉ MUVA
ARTESANIAS KANKUAMAS UNIDAS
DUMIZAY
CORPOJAR
CAFÉ DON WILSON
FUNDACION AMBIENTAL Y ZOOLOGICA DEL CARIBE
FUNDACIÓN MUNDO ECOSOSTENIBLE
INGENIERIA AMBIENTAL APM S.A.S
SOLUCIONES AGROPECUARIAS Y AMBIENTALES PRIMAVESI SAS - SAAPRI SAS
C.E. PROJECT MANAGEMENT S.A.S.
RECOLECCION DE ACEITE VEGETAL EN COLOMBIA (REACOL SAS)
FUNDACION ECOSOCIAL RS 
SALSASON VALLENATO</t>
  </si>
  <si>
    <r>
      <t>1. Para la vigencia 2024 se estableció el</t>
    </r>
    <r>
      <rPr>
        <b/>
        <sz val="10"/>
        <rFont val="Arial Narrow"/>
        <family val="2"/>
      </rPr>
      <t xml:space="preserve"> Plan de Adaptación de Cambio Climático</t>
    </r>
    <r>
      <rPr>
        <sz val="10"/>
        <rFont val="Arial Narrow"/>
        <family val="2"/>
      </rPr>
      <t xml:space="preserve"> para los 25 municipios del departamento teniendo en cuenta las medidas aprobadas del plan integral de cambio climático territorial Cesar 2032 – PIGCCT; así municipios conozcan y adopten las medidas de mitigación y aptación de cambio climático en los planes de desarrollo territorial y lograr un seguimiento a estas metas; 
2. Se elaboró la propuesta tecnica de un convenio de MRV entre Corpocesar y Cornare sobre las medidas de cambio climático adoptado la resolución 1447 de 2018, monitoreo, reporte y verificacion de las acciones de mitigacion a nivel nacional de que trata el articulo 175 de la ley 1753 de 2015</t>
    </r>
  </si>
  <si>
    <t xml:space="preserve">(Este avance se realizó basándose en el indicador anterior “Negocios verdes consolidados”) Mediante las acciones de la Coordinación del GIT para la gestión de Residuos Peligrosos (RESPEL), Producción y Consumo Sostenible, se han llevado a cabo las actividades de identificación y verificación de nuevos Negocios Verdes, con el fin de establecer la consolidación de los nuevos negocios y la formulación de sus planes de mejora
las asistencias tecnicas que corresponde a esta actividad corresponde a las acciones de seguimiento, verificacion y acompañamiento del grupo tecnico de negocios verdes a los nuevos negocios que se allan inscrito o se identificaron para el 2024, para el año 2024 se tenia una meta de 25 negocios, se lograron el registro de 26 negocios a los caules se realizo visita tecnica y se implemento la matriz de diiligenciamiento de verificacion donde se consolida la informacion oficial del negocio y su impacto social positivo y otros requisito en los cuales se determina en que porcentaje se cumple la certificacion del negocio.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</si>
</sst>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4" formatCode="_-&quot;$&quot;\ * #,##0.00_-;\-&quot;$&quot;\ * #,##0.00_-;_-&quot;$&quot;\ * &quot;-&quot;??_-;_-@_-"/>
    <numFmt numFmtId="43" formatCode="_-* #,##0.00_-;\-* #,##0.00_-;_-* &quot;-&quot;??_-;_-@_-"/>
    <numFmt numFmtId="164" formatCode="0.0"/>
    <numFmt numFmtId="165" formatCode="_-* #,##0_-;\-* #,##0_-;_-* &quot;-&quot;??_-;_-@_-"/>
    <numFmt numFmtId="166" formatCode="_(* #,##0_);_(* \(#,##0\);_(* &quot;-&quot;??_);_(@_)"/>
    <numFmt numFmtId="167" formatCode="0.0%"/>
    <numFmt numFmtId="168" formatCode="_-* #,##0_-;\-* #,##0_-;_-* &quot;-&quot;??_-;_-@"/>
    <numFmt numFmtId="169" formatCode="[$$-240A]\ #,##0"/>
    <numFmt numFmtId="170" formatCode="[$$-240A]\ #,##0.00"/>
    <numFmt numFmtId="171" formatCode="#,##0.00_);\-#,##0.00"/>
    <numFmt numFmtId="172" formatCode="&quot;$&quot;\ #,##0.00"/>
    <numFmt numFmtId="173" formatCode="_-* #,##0.00\ _€_-;\-* #,##0.00\ _€_-;_-* &quot;-&quot;??\ _€_-;_-@_-"/>
  </numFmts>
  <fonts count="62" x14ac:knownFonts="1">
    <font>
      <sz val="11"/>
      <color theme="1"/>
      <name val="Calibri"/>
      <family val="2"/>
      <scheme val="minor"/>
    </font>
    <font>
      <sz val="11"/>
      <color rgb="FF006100"/>
      <name val="Calibri"/>
      <family val="2"/>
      <scheme val="minor"/>
    </font>
    <font>
      <b/>
      <sz val="11"/>
      <color rgb="FF000000"/>
      <name val="Calibri"/>
      <family val="2"/>
      <scheme val="minor"/>
    </font>
    <font>
      <b/>
      <sz val="9"/>
      <color rgb="FF000000"/>
      <name val="Calibri"/>
      <family val="2"/>
      <scheme val="minor"/>
    </font>
    <font>
      <sz val="9"/>
      <color rgb="FF000000"/>
      <name val="Calibri"/>
      <family val="2"/>
      <scheme val="minor"/>
    </font>
    <font>
      <b/>
      <i/>
      <sz val="9"/>
      <color rgb="FF000000"/>
      <name val="Calibri"/>
      <family val="2"/>
      <scheme val="minor"/>
    </font>
    <font>
      <i/>
      <sz val="9"/>
      <color rgb="FF000000"/>
      <name val="Calibri"/>
      <family val="2"/>
      <scheme val="minor"/>
    </font>
    <font>
      <sz val="9"/>
      <color theme="1"/>
      <name val="Calibri"/>
      <family val="2"/>
      <scheme val="minor"/>
    </font>
    <font>
      <sz val="8"/>
      <color rgb="FF000000"/>
      <name val="Calibri"/>
      <family val="2"/>
      <scheme val="minor"/>
    </font>
    <font>
      <sz val="9"/>
      <color rgb="FF000000"/>
      <name val="Calibri"/>
      <family val="2"/>
    </font>
    <font>
      <sz val="7"/>
      <color rgb="FF000000"/>
      <name val="Times New Roman"/>
      <family val="1"/>
    </font>
    <font>
      <vertAlign val="subscript"/>
      <sz val="9"/>
      <color rgb="FF000000"/>
      <name val="Calibri"/>
      <family val="2"/>
      <scheme val="minor"/>
    </font>
    <font>
      <b/>
      <u/>
      <sz val="9"/>
      <color rgb="FF000000"/>
      <name val="Calibri"/>
      <family val="2"/>
      <scheme val="minor"/>
    </font>
    <font>
      <i/>
      <sz val="7"/>
      <color rgb="FF000000"/>
      <name val="Times New Roman"/>
      <family val="1"/>
    </font>
    <font>
      <sz val="10"/>
      <color theme="1"/>
      <name val="Calibri"/>
      <family val="2"/>
      <scheme val="minor"/>
    </font>
    <font>
      <u/>
      <sz val="9"/>
      <color rgb="FF000000"/>
      <name val="Calibri"/>
      <family val="2"/>
      <scheme val="minor"/>
    </font>
    <font>
      <sz val="9"/>
      <color rgb="FF000000"/>
      <name val="Symbol"/>
      <family val="1"/>
      <charset val="2"/>
    </font>
    <font>
      <u/>
      <sz val="11"/>
      <color theme="10"/>
      <name val="Calibri"/>
      <family val="2"/>
      <scheme val="minor"/>
    </font>
    <font>
      <sz val="12"/>
      <color rgb="FF000000"/>
      <name val="Calibri"/>
      <family val="2"/>
    </font>
    <font>
      <sz val="7"/>
      <color rgb="FF000000"/>
      <name val="Calibri"/>
      <family val="2"/>
      <scheme val="minor"/>
    </font>
    <font>
      <b/>
      <i/>
      <sz val="9"/>
      <color indexed="8"/>
      <name val="Calibri"/>
      <family val="2"/>
      <scheme val="minor"/>
    </font>
    <font>
      <sz val="11"/>
      <color theme="1"/>
      <name val="Calibri"/>
      <family val="2"/>
      <scheme val="minor"/>
    </font>
    <font>
      <b/>
      <sz val="11"/>
      <color theme="1"/>
      <name val="Calibri"/>
      <family val="2"/>
      <scheme val="minor"/>
    </font>
    <font>
      <sz val="10"/>
      <color rgb="FF006100"/>
      <name val="Calibri"/>
      <family val="2"/>
      <scheme val="minor"/>
    </font>
    <font>
      <u/>
      <sz val="10"/>
      <color theme="10"/>
      <name val="Calibri"/>
      <family val="2"/>
      <scheme val="minor"/>
    </font>
    <font>
      <sz val="10"/>
      <color rgb="FF000000"/>
      <name val="Calibri"/>
      <family val="2"/>
      <scheme val="minor"/>
    </font>
    <font>
      <sz val="18"/>
      <color rgb="FF000000"/>
      <name val="Calibri"/>
      <family val="2"/>
      <scheme val="minor"/>
    </font>
    <font>
      <sz val="9"/>
      <color rgb="FFFF0000"/>
      <name val="Calibri"/>
      <family val="2"/>
      <scheme val="minor"/>
    </font>
    <font>
      <sz val="8"/>
      <color theme="1"/>
      <name val="Calibri"/>
      <family val="2"/>
      <scheme val="minor"/>
    </font>
    <font>
      <b/>
      <sz val="8"/>
      <color rgb="FF000000"/>
      <name val="Calibri"/>
      <family val="2"/>
      <scheme val="minor"/>
    </font>
    <font>
      <sz val="10"/>
      <name val="Arial Narrow"/>
      <family val="2"/>
    </font>
    <font>
      <b/>
      <sz val="12"/>
      <name val="Arial Narrow"/>
      <family val="2"/>
    </font>
    <font>
      <sz val="10"/>
      <name val="Arial"/>
      <family val="2"/>
    </font>
    <font>
      <b/>
      <sz val="10"/>
      <name val="Arial Narrow"/>
      <family val="2"/>
    </font>
    <font>
      <b/>
      <sz val="10"/>
      <name val="Arial"/>
      <family val="2"/>
    </font>
    <font>
      <b/>
      <sz val="11"/>
      <color theme="1"/>
      <name val="Arial Narrow"/>
      <family val="2"/>
    </font>
    <font>
      <b/>
      <sz val="9"/>
      <color theme="1"/>
      <name val="Verdana"/>
      <family val="2"/>
    </font>
    <font>
      <b/>
      <sz val="9"/>
      <name val="Verdana"/>
      <family val="2"/>
    </font>
    <font>
      <sz val="9"/>
      <color theme="1"/>
      <name val="Verdana"/>
      <family val="2"/>
    </font>
    <font>
      <sz val="10"/>
      <color theme="1"/>
      <name val="Arial Narrow"/>
      <family val="2"/>
    </font>
    <font>
      <b/>
      <sz val="10"/>
      <color theme="1"/>
      <name val="Arial Narrow"/>
      <family val="2"/>
    </font>
    <font>
      <sz val="10"/>
      <color rgb="FF000000"/>
      <name val="Arial Narrow"/>
      <family val="2"/>
    </font>
    <font>
      <sz val="8"/>
      <name val="Calibri"/>
      <family val="2"/>
      <scheme val="minor"/>
    </font>
    <font>
      <sz val="9"/>
      <color indexed="81"/>
      <name val="Tahoma"/>
      <family val="2"/>
    </font>
    <font>
      <b/>
      <sz val="9"/>
      <color indexed="81"/>
      <name val="Tahoma"/>
      <family val="2"/>
    </font>
    <font>
      <sz val="11"/>
      <name val="Calibri"/>
      <family val="2"/>
    </font>
    <font>
      <sz val="11"/>
      <name val="Calibri"/>
      <family val="2"/>
      <scheme val="minor"/>
    </font>
    <font>
      <sz val="11"/>
      <name val="Arial"/>
      <family val="2"/>
    </font>
    <font>
      <sz val="10"/>
      <name val="Calibri"/>
      <family val="2"/>
    </font>
    <font>
      <b/>
      <sz val="14"/>
      <name val="Arial"/>
      <family val="2"/>
    </font>
    <font>
      <sz val="14"/>
      <name val="Arial"/>
      <family val="2"/>
    </font>
    <font>
      <b/>
      <sz val="12"/>
      <name val="Times New Roman"/>
      <family val="1"/>
    </font>
    <font>
      <sz val="12"/>
      <name val="Arial Narrow"/>
      <family val="2"/>
    </font>
    <font>
      <b/>
      <sz val="11"/>
      <name val="Calibri"/>
      <family val="2"/>
      <scheme val="minor"/>
    </font>
    <font>
      <sz val="11"/>
      <color theme="1"/>
      <name val="Arial"/>
      <family val="2"/>
    </font>
    <font>
      <b/>
      <sz val="9"/>
      <name val="Arial Narrow"/>
      <family val="2"/>
    </font>
    <font>
      <b/>
      <sz val="7"/>
      <name val="Arial Narrow"/>
      <family val="2"/>
    </font>
    <font>
      <sz val="7"/>
      <name val="Arial Narrow"/>
      <family val="2"/>
    </font>
    <font>
      <u/>
      <sz val="7"/>
      <name val="Arial Narrow"/>
      <family val="2"/>
    </font>
    <font>
      <sz val="10"/>
      <color indexed="8"/>
      <name val="MS Sans Serif"/>
    </font>
    <font>
      <sz val="12"/>
      <color theme="1"/>
      <name val="Arial Narrow"/>
      <family val="2"/>
    </font>
    <font>
      <sz val="10"/>
      <color rgb="FFFF0000"/>
      <name val="Arial Narrow"/>
      <family val="2"/>
    </font>
  </fonts>
  <fills count="46">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rgb="FFD9D9D9"/>
        <bgColor indexed="64"/>
      </patternFill>
    </fill>
    <fill>
      <patternFill patternType="solid">
        <fgColor rgb="FFF7CAAC"/>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indexed="41"/>
        <bgColor indexed="64"/>
      </patternFill>
    </fill>
    <fill>
      <patternFill patternType="solid">
        <fgColor indexed="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CCFFFF"/>
        <bgColor rgb="FFCCFFFF"/>
      </patternFill>
    </fill>
    <fill>
      <patternFill patternType="solid">
        <fgColor rgb="FFCCFFCC"/>
        <bgColor rgb="FFCCFFCC"/>
      </patternFill>
    </fill>
    <fill>
      <patternFill patternType="solid">
        <fgColor rgb="FFFFCC99"/>
        <bgColor rgb="FFFFCC99"/>
      </patternFill>
    </fill>
    <fill>
      <patternFill patternType="solid">
        <fgColor rgb="FFCCFFCC"/>
        <bgColor indexed="64"/>
      </patternFill>
    </fill>
    <fill>
      <patternFill patternType="solid">
        <fgColor rgb="FFFFFF99"/>
        <bgColor rgb="FFFFFF99"/>
      </patternFill>
    </fill>
    <fill>
      <patternFill patternType="solid">
        <fgColor rgb="FFFFFF00"/>
        <bgColor rgb="FFFFFF00"/>
      </patternFill>
    </fill>
    <fill>
      <patternFill patternType="solid">
        <fgColor theme="7" tint="0.59999389629810485"/>
        <bgColor rgb="FFFF99CC"/>
      </patternFill>
    </fill>
    <fill>
      <patternFill patternType="solid">
        <fgColor theme="7" tint="0.59999389629810485"/>
        <bgColor rgb="FFFFFF00"/>
      </patternFill>
    </fill>
    <fill>
      <patternFill patternType="solid">
        <fgColor rgb="FFFF99CC"/>
        <bgColor rgb="FFFF99CC"/>
      </patternFill>
    </fill>
    <fill>
      <patternFill patternType="solid">
        <fgColor rgb="FFFF00FF"/>
        <bgColor rgb="FFFF00FF"/>
      </patternFill>
    </fill>
    <fill>
      <patternFill patternType="solid">
        <fgColor rgb="FF00FF00"/>
        <bgColor rgb="FF00FF00"/>
      </patternFill>
    </fill>
    <fill>
      <patternFill patternType="solid">
        <fgColor rgb="FF99FF99"/>
        <bgColor rgb="FF99FF99"/>
      </patternFill>
    </fill>
    <fill>
      <patternFill patternType="solid">
        <fgColor rgb="FFCCFFCC"/>
        <bgColor rgb="FFFFFF00"/>
      </patternFill>
    </fill>
    <fill>
      <patternFill patternType="solid">
        <fgColor theme="0"/>
        <bgColor theme="0"/>
      </patternFill>
    </fill>
    <fill>
      <patternFill patternType="solid">
        <fgColor rgb="FFCCFFCC"/>
        <bgColor rgb="FF99FFCC"/>
      </patternFill>
    </fill>
    <fill>
      <patternFill patternType="solid">
        <fgColor rgb="FFFFFF00"/>
        <bgColor rgb="FF66FF66"/>
      </patternFill>
    </fill>
    <fill>
      <patternFill patternType="solid">
        <fgColor rgb="FFFFFF00"/>
        <bgColor rgb="FF99FF99"/>
      </patternFill>
    </fill>
    <fill>
      <patternFill patternType="solid">
        <fgColor rgb="FFCCFFCC"/>
        <bgColor theme="0"/>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E1FFE1"/>
        <bgColor rgb="FF92D050"/>
      </patternFill>
    </fill>
    <fill>
      <patternFill patternType="solid">
        <fgColor rgb="FFE1FFE1"/>
        <bgColor indexed="64"/>
      </patternFill>
    </fill>
    <fill>
      <patternFill patternType="solid">
        <fgColor theme="0" tint="-4.9989318521683403E-2"/>
        <bgColor indexed="64"/>
      </patternFill>
    </fill>
    <fill>
      <patternFill patternType="solid">
        <fgColor rgb="FFFFFF00"/>
        <bgColor rgb="FF000000"/>
      </patternFill>
    </fill>
    <fill>
      <patternFill patternType="solid">
        <fgColor theme="4" tint="0.39997558519241921"/>
        <bgColor rgb="FF000000"/>
      </patternFill>
    </fill>
    <fill>
      <patternFill patternType="solid">
        <fgColor rgb="FF9BC2E6"/>
        <bgColor rgb="FF000000"/>
      </patternFill>
    </fill>
  </fills>
  <borders count="7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double">
        <color rgb="FFFF8001"/>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right style="medium">
        <color indexed="8"/>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top/>
      <bottom/>
      <diagonal/>
    </border>
    <border>
      <left style="thin">
        <color indexed="64"/>
      </left>
      <right style="thin">
        <color indexed="64"/>
      </right>
      <top/>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s>
  <cellStyleXfs count="76">
    <xf numFmtId="0" fontId="0" fillId="0" borderId="0"/>
    <xf numFmtId="0" fontId="1" fillId="2" borderId="0" applyNumberFormat="0" applyBorder="0" applyAlignment="0" applyProtection="0"/>
    <xf numFmtId="0" fontId="17" fillId="0" borderId="0" applyNumberForma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32" fillId="0" borderId="0"/>
    <xf numFmtId="41"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21" fillId="0" borderId="0"/>
    <xf numFmtId="43"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44" fontId="21" fillId="0" borderId="0" applyFont="0" applyFill="0" applyBorder="0" applyAlignment="0" applyProtection="0"/>
    <xf numFmtId="0" fontId="32" fillId="0" borderId="0"/>
    <xf numFmtId="44" fontId="21" fillId="0" borderId="0" applyFont="0" applyFill="0" applyBorder="0" applyAlignment="0" applyProtection="0"/>
    <xf numFmtId="0" fontId="59" fillId="0" borderId="0"/>
    <xf numFmtId="43"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cellStyleXfs>
  <cellXfs count="1185">
    <xf numFmtId="0" fontId="0" fillId="0" borderId="0" xfId="0"/>
    <xf numFmtId="0" fontId="4" fillId="0" borderId="0" xfId="0" applyFont="1" applyAlignment="1">
      <alignment vertical="top"/>
    </xf>
    <xf numFmtId="0" fontId="4" fillId="0" borderId="8" xfId="0" applyFont="1" applyBorder="1" applyAlignment="1">
      <alignment horizontal="center" vertical="top" wrapText="1"/>
    </xf>
    <xf numFmtId="0" fontId="3" fillId="0" borderId="0" xfId="0" applyFont="1" applyAlignment="1">
      <alignment vertical="top"/>
    </xf>
    <xf numFmtId="0" fontId="3" fillId="0" borderId="12" xfId="0" applyFont="1" applyBorder="1" applyAlignment="1">
      <alignment vertical="top" wrapText="1"/>
    </xf>
    <xf numFmtId="0" fontId="0" fillId="0" borderId="0" xfId="0" applyAlignment="1">
      <alignment vertical="top"/>
    </xf>
    <xf numFmtId="0" fontId="4" fillId="3" borderId="7" xfId="0" applyFont="1" applyFill="1" applyBorder="1" applyAlignment="1" applyProtection="1">
      <alignment horizontal="center" vertical="top" wrapText="1"/>
      <protection locked="0"/>
    </xf>
    <xf numFmtId="0" fontId="4" fillId="0" borderId="0" xfId="0" applyFont="1" applyAlignment="1" applyProtection="1">
      <alignment vertical="top"/>
      <protection locked="0"/>
    </xf>
    <xf numFmtId="0" fontId="4" fillId="0" borderId="8" xfId="0" applyFont="1" applyBorder="1" applyAlignment="1" applyProtection="1">
      <alignment horizontal="center" vertical="top" wrapText="1"/>
      <protection locked="0"/>
    </xf>
    <xf numFmtId="0" fontId="3" fillId="0" borderId="0" xfId="0" applyFont="1" applyAlignment="1" applyProtection="1">
      <alignment vertical="top"/>
      <protection locked="0"/>
    </xf>
    <xf numFmtId="0" fontId="0" fillId="0" borderId="8" xfId="0" applyBorder="1"/>
    <xf numFmtId="0" fontId="0" fillId="0" borderId="5" xfId="0" applyBorder="1"/>
    <xf numFmtId="0" fontId="0" fillId="0" borderId="13" xfId="0" applyBorder="1"/>
    <xf numFmtId="0" fontId="0" fillId="0" borderId="6" xfId="0" applyBorder="1"/>
    <xf numFmtId="0" fontId="0" fillId="0" borderId="11" xfId="0" applyBorder="1"/>
    <xf numFmtId="0" fontId="4" fillId="0" borderId="8" xfId="0" applyFont="1" applyBorder="1" applyAlignment="1">
      <alignment horizontal="left" vertical="center" wrapText="1"/>
    </xf>
    <xf numFmtId="0" fontId="0" fillId="0" borderId="6" xfId="0" applyBorder="1" applyAlignment="1">
      <alignment vertical="top" wrapText="1"/>
    </xf>
    <xf numFmtId="0" fontId="0" fillId="7" borderId="16" xfId="0" applyFill="1" applyBorder="1" applyAlignment="1">
      <alignment vertical="top"/>
    </xf>
    <xf numFmtId="0" fontId="0" fillId="0" borderId="0" xfId="0" applyAlignment="1" applyProtection="1">
      <alignment vertical="top"/>
      <protection locked="0"/>
    </xf>
    <xf numFmtId="0" fontId="0" fillId="0" borderId="6" xfId="0" applyBorder="1" applyAlignment="1" applyProtection="1">
      <alignment vertical="top"/>
      <protection locked="0"/>
    </xf>
    <xf numFmtId="0" fontId="4" fillId="0" borderId="7" xfId="0" applyFont="1" applyBorder="1" applyAlignment="1" applyProtection="1">
      <alignment horizontal="center" vertical="top" wrapText="1"/>
      <protection locked="0"/>
    </xf>
    <xf numFmtId="0" fontId="0" fillId="0" borderId="6" xfId="0" applyBorder="1" applyAlignment="1">
      <alignment vertical="top"/>
    </xf>
    <xf numFmtId="0" fontId="0" fillId="0" borderId="11" xfId="0" applyBorder="1" applyAlignment="1">
      <alignment vertical="top"/>
    </xf>
    <xf numFmtId="0" fontId="0" fillId="0" borderId="8" xfId="0" applyBorder="1" applyAlignment="1">
      <alignment vertical="top"/>
    </xf>
    <xf numFmtId="0" fontId="14" fillId="0" borderId="7" xfId="0" applyFont="1" applyBorder="1" applyAlignment="1">
      <alignment vertical="top"/>
    </xf>
    <xf numFmtId="0" fontId="9" fillId="0" borderId="6" xfId="0" applyFont="1" applyBorder="1" applyAlignment="1">
      <alignment vertical="top" wrapText="1"/>
    </xf>
    <xf numFmtId="0" fontId="14" fillId="0" borderId="8" xfId="0" applyFont="1" applyBorder="1" applyAlignment="1">
      <alignment vertical="top"/>
    </xf>
    <xf numFmtId="0" fontId="5" fillId="0" borderId="0" xfId="0" applyFont="1" applyAlignment="1">
      <alignment vertical="top"/>
    </xf>
    <xf numFmtId="0" fontId="7" fillId="0" borderId="0" xfId="0" applyFont="1" applyAlignment="1" applyProtection="1">
      <alignment vertical="top"/>
      <protection locked="0"/>
    </xf>
    <xf numFmtId="0" fontId="4" fillId="3" borderId="8" xfId="0" applyFont="1" applyFill="1" applyBorder="1" applyAlignment="1" applyProtection="1">
      <alignment vertical="top" wrapText="1"/>
      <protection locked="0"/>
    </xf>
    <xf numFmtId="0" fontId="4" fillId="3" borderId="8" xfId="0" applyFont="1" applyFill="1" applyBorder="1" applyAlignment="1" applyProtection="1">
      <alignment vertical="top"/>
      <protection locked="0"/>
    </xf>
    <xf numFmtId="9" fontId="4" fillId="3" borderId="8" xfId="0" applyNumberFormat="1" applyFont="1" applyFill="1" applyBorder="1" applyAlignment="1" applyProtection="1">
      <alignment vertical="top"/>
      <protection locked="0"/>
    </xf>
    <xf numFmtId="9" fontId="4" fillId="0" borderId="8" xfId="0" applyNumberFormat="1" applyFont="1" applyBorder="1" applyAlignment="1" applyProtection="1">
      <alignment vertical="top"/>
      <protection locked="0"/>
    </xf>
    <xf numFmtId="0" fontId="5" fillId="0" borderId="8" xfId="0" applyFont="1" applyBorder="1" applyAlignment="1" applyProtection="1">
      <alignment vertical="top" wrapText="1"/>
      <protection locked="0"/>
    </xf>
    <xf numFmtId="0" fontId="4" fillId="0" borderId="8" xfId="0" applyFont="1" applyBorder="1" applyAlignment="1" applyProtection="1">
      <alignment vertical="top"/>
      <protection locked="0"/>
    </xf>
    <xf numFmtId="17" fontId="4" fillId="0" borderId="13" xfId="0" applyNumberFormat="1" applyFont="1" applyBorder="1" applyAlignment="1" applyProtection="1">
      <alignment vertical="top" wrapText="1"/>
      <protection locked="0"/>
    </xf>
    <xf numFmtId="0" fontId="4" fillId="0" borderId="12" xfId="0" applyFont="1" applyBorder="1" applyAlignment="1" applyProtection="1">
      <alignment vertical="top" wrapText="1"/>
      <protection locked="0"/>
    </xf>
    <xf numFmtId="0" fontId="7" fillId="0" borderId="0" xfId="0" applyFont="1" applyAlignment="1">
      <alignment vertical="top"/>
    </xf>
    <xf numFmtId="0" fontId="4" fillId="0" borderId="7" xfId="0" applyFont="1" applyBorder="1" applyAlignment="1">
      <alignment vertical="top"/>
    </xf>
    <xf numFmtId="0" fontId="4" fillId="0" borderId="8" xfId="0" applyFont="1" applyBorder="1" applyAlignment="1">
      <alignment vertical="top"/>
    </xf>
    <xf numFmtId="0" fontId="4" fillId="0" borderId="8" xfId="0" applyFont="1" applyBorder="1" applyAlignment="1">
      <alignment vertical="top" wrapText="1"/>
    </xf>
    <xf numFmtId="0" fontId="4" fillId="3" borderId="8" xfId="0" applyFont="1" applyFill="1" applyBorder="1" applyAlignment="1">
      <alignment vertical="top"/>
    </xf>
    <xf numFmtId="0" fontId="4" fillId="4" borderId="8" xfId="0" applyFont="1" applyFill="1" applyBorder="1" applyAlignment="1">
      <alignment vertical="top"/>
    </xf>
    <xf numFmtId="0" fontId="4" fillId="0" borderId="7" xfId="0" applyFont="1" applyBorder="1" applyAlignment="1">
      <alignment vertical="top" wrapText="1"/>
    </xf>
    <xf numFmtId="0" fontId="4" fillId="3" borderId="8" xfId="0" applyFont="1" applyFill="1" applyBorder="1" applyAlignment="1">
      <alignment vertical="top" wrapText="1"/>
    </xf>
    <xf numFmtId="0" fontId="4" fillId="0" borderId="13" xfId="0" applyFont="1" applyBorder="1" applyAlignment="1">
      <alignment vertical="top"/>
    </xf>
    <xf numFmtId="0" fontId="4" fillId="0" borderId="6" xfId="0" applyFont="1" applyBorder="1" applyAlignment="1">
      <alignment vertical="top" wrapText="1"/>
    </xf>
    <xf numFmtId="0" fontId="4" fillId="0" borderId="13" xfId="0" applyFont="1" applyBorder="1" applyAlignment="1">
      <alignment vertical="top" wrapText="1"/>
    </xf>
    <xf numFmtId="0" fontId="5" fillId="0" borderId="8" xfId="0" applyFont="1" applyBorder="1" applyAlignment="1">
      <alignment vertical="top" wrapText="1"/>
    </xf>
    <xf numFmtId="17" fontId="4" fillId="0" borderId="13" xfId="0" applyNumberFormat="1" applyFont="1" applyBorder="1" applyAlignment="1">
      <alignment vertical="top" wrapText="1"/>
    </xf>
    <xf numFmtId="0" fontId="6" fillId="0" borderId="8" xfId="0" applyFont="1" applyBorder="1" applyAlignment="1">
      <alignment vertical="top" wrapText="1"/>
    </xf>
    <xf numFmtId="0" fontId="12" fillId="0" borderId="12" xfId="0" applyFont="1" applyBorder="1" applyAlignment="1">
      <alignment vertical="top" wrapText="1"/>
    </xf>
    <xf numFmtId="0" fontId="4" fillId="0" borderId="12" xfId="0" applyFont="1" applyBorder="1" applyAlignment="1">
      <alignment vertical="top" wrapText="1"/>
    </xf>
    <xf numFmtId="0" fontId="3" fillId="0" borderId="6" xfId="0" applyFont="1" applyBorder="1" applyAlignment="1">
      <alignment vertical="top" wrapText="1"/>
    </xf>
    <xf numFmtId="0" fontId="15" fillId="0" borderId="6" xfId="0" applyFont="1" applyBorder="1" applyAlignment="1">
      <alignment vertical="top" wrapText="1"/>
    </xf>
    <xf numFmtId="0" fontId="17" fillId="0" borderId="6" xfId="2" applyBorder="1" applyAlignment="1">
      <alignment vertical="top" wrapText="1"/>
    </xf>
    <xf numFmtId="0" fontId="17" fillId="0" borderId="8" xfId="2" applyBorder="1" applyAlignment="1">
      <alignment vertical="top" wrapText="1"/>
    </xf>
    <xf numFmtId="0" fontId="12" fillId="0" borderId="6" xfId="0" applyFont="1" applyBorder="1" applyAlignment="1">
      <alignment vertical="top" wrapText="1"/>
    </xf>
    <xf numFmtId="0" fontId="6" fillId="0" borderId="6" xfId="0" applyFont="1" applyBorder="1" applyAlignment="1">
      <alignment vertical="top" wrapText="1"/>
    </xf>
    <xf numFmtId="0" fontId="7" fillId="0" borderId="0" xfId="0" applyFont="1" applyAlignment="1">
      <alignment vertical="top" wrapText="1"/>
    </xf>
    <xf numFmtId="0" fontId="19" fillId="0" borderId="13" xfId="0" applyFont="1" applyBorder="1" applyAlignment="1">
      <alignment vertical="top" wrapText="1"/>
    </xf>
    <xf numFmtId="0" fontId="16" fillId="0" borderId="6" xfId="0" applyFont="1" applyBorder="1" applyAlignment="1">
      <alignment vertical="top" wrapText="1"/>
    </xf>
    <xf numFmtId="0" fontId="16" fillId="0" borderId="8" xfId="0" applyFont="1" applyBorder="1" applyAlignment="1">
      <alignment vertical="top" wrapText="1"/>
    </xf>
    <xf numFmtId="0" fontId="4" fillId="0" borderId="4" xfId="0" applyFont="1" applyBorder="1" applyAlignment="1">
      <alignment vertical="top" wrapText="1"/>
    </xf>
    <xf numFmtId="0" fontId="3" fillId="0" borderId="4" xfId="0" applyFont="1" applyBorder="1" applyAlignment="1">
      <alignment vertical="top" wrapText="1"/>
    </xf>
    <xf numFmtId="0" fontId="8" fillId="0" borderId="8" xfId="0" applyFont="1" applyBorder="1" applyAlignment="1">
      <alignment vertical="top" wrapText="1"/>
    </xf>
    <xf numFmtId="0" fontId="8" fillId="0" borderId="7" xfId="0" applyFont="1" applyBorder="1" applyAlignment="1">
      <alignment vertical="top" wrapText="1"/>
    </xf>
    <xf numFmtId="0" fontId="3" fillId="0" borderId="7" xfId="0" applyFont="1" applyBorder="1" applyAlignment="1">
      <alignment vertical="top"/>
    </xf>
    <xf numFmtId="0" fontId="3" fillId="0" borderId="8" xfId="0" applyFont="1" applyBorder="1" applyAlignment="1">
      <alignment vertical="top" wrapText="1"/>
    </xf>
    <xf numFmtId="0" fontId="8" fillId="0" borderId="6" xfId="0" applyFont="1" applyBorder="1" applyAlignment="1">
      <alignment vertical="top" wrapText="1"/>
    </xf>
    <xf numFmtId="0" fontId="3" fillId="0" borderId="7" xfId="0" applyFont="1" applyBorder="1" applyAlignment="1">
      <alignment vertical="top" wrapText="1"/>
    </xf>
    <xf numFmtId="0" fontId="15" fillId="0" borderId="8" xfId="0" applyFont="1" applyBorder="1" applyAlignment="1">
      <alignment vertical="top" wrapText="1"/>
    </xf>
    <xf numFmtId="0" fontId="8" fillId="0" borderId="13" xfId="0" applyFont="1" applyBorder="1" applyAlignment="1">
      <alignment vertical="top" wrapText="1"/>
    </xf>
    <xf numFmtId="0" fontId="8" fillId="0" borderId="4" xfId="0" applyFont="1" applyBorder="1" applyAlignment="1">
      <alignment vertical="top" wrapText="1"/>
    </xf>
    <xf numFmtId="0" fontId="0" fillId="3" borderId="16" xfId="0" applyFill="1" applyBorder="1" applyAlignment="1">
      <alignment vertical="top"/>
    </xf>
    <xf numFmtId="0" fontId="20" fillId="0" borderId="0" xfId="0" applyFont="1" applyAlignment="1">
      <alignment vertical="top"/>
    </xf>
    <xf numFmtId="0" fontId="4" fillId="0" borderId="0" xfId="0" applyFont="1" applyAlignment="1">
      <alignment horizontal="center" vertical="top"/>
    </xf>
    <xf numFmtId="0" fontId="6" fillId="0" borderId="0" xfId="0" applyFont="1" applyAlignment="1">
      <alignment horizontal="center" vertical="top" wrapText="1"/>
    </xf>
    <xf numFmtId="0" fontId="7" fillId="0" borderId="0" xfId="0" applyFont="1" applyAlignment="1" applyProtection="1">
      <alignment horizontal="center" vertical="top"/>
      <protection locked="0"/>
    </xf>
    <xf numFmtId="0" fontId="4" fillId="0" borderId="13" xfId="0" applyFont="1" applyBorder="1" applyAlignment="1" applyProtection="1">
      <alignment horizontal="center" vertical="top" wrapText="1"/>
      <protection locked="0"/>
    </xf>
    <xf numFmtId="0" fontId="0" fillId="0" borderId="0" xfId="0" applyAlignment="1" applyProtection="1">
      <alignment horizontal="center" vertical="top"/>
      <protection locked="0"/>
    </xf>
    <xf numFmtId="0" fontId="4" fillId="0" borderId="0" xfId="0" applyFont="1" applyAlignment="1" applyProtection="1">
      <alignment horizontal="center" vertical="top"/>
      <protection locked="0"/>
    </xf>
    <xf numFmtId="0" fontId="4" fillId="0" borderId="6" xfId="0" applyFont="1" applyBorder="1" applyAlignment="1" applyProtection="1">
      <alignment horizontal="center" vertical="top" wrapText="1"/>
      <protection locked="0"/>
    </xf>
    <xf numFmtId="0" fontId="3" fillId="0" borderId="0" xfId="0" applyFont="1" applyAlignment="1" applyProtection="1">
      <alignment horizontal="center" vertical="top"/>
      <protection locked="0"/>
    </xf>
    <xf numFmtId="0" fontId="3" fillId="0" borderId="0" xfId="0" applyFont="1" applyAlignment="1" applyProtection="1">
      <alignment horizontal="center" vertical="top" wrapText="1"/>
      <protection locked="0"/>
    </xf>
    <xf numFmtId="0" fontId="12" fillId="0" borderId="0" xfId="0" applyFont="1" applyAlignment="1" applyProtection="1">
      <alignment horizontal="center" vertical="top" wrapText="1"/>
      <protection locked="0"/>
    </xf>
    <xf numFmtId="0" fontId="4" fillId="0" borderId="10" xfId="0" applyFont="1" applyBorder="1" applyAlignment="1" applyProtection="1">
      <alignment horizontal="center" vertical="top" wrapText="1"/>
      <protection locked="0"/>
    </xf>
    <xf numFmtId="0" fontId="0" fillId="0" borderId="0" xfId="0" applyAlignment="1">
      <alignment horizontal="center" vertical="top"/>
    </xf>
    <xf numFmtId="0" fontId="7" fillId="0" borderId="0" xfId="0" applyFont="1" applyAlignment="1">
      <alignment horizontal="center" vertical="top"/>
    </xf>
    <xf numFmtId="0" fontId="4" fillId="0" borderId="2" xfId="0" applyFont="1" applyBorder="1" applyAlignment="1">
      <alignment horizontal="center" vertical="top" wrapText="1"/>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4" fillId="0" borderId="6" xfId="0" applyFont="1" applyBorder="1" applyAlignment="1">
      <alignment horizontal="center" vertical="top" wrapText="1"/>
    </xf>
    <xf numFmtId="0" fontId="3" fillId="0" borderId="0" xfId="0" applyFont="1" applyAlignment="1">
      <alignment horizontal="center" vertical="top"/>
    </xf>
    <xf numFmtId="0" fontId="3" fillId="0" borderId="0" xfId="0" applyFont="1" applyAlignment="1">
      <alignment horizontal="center" vertical="top" wrapText="1"/>
    </xf>
    <xf numFmtId="0" fontId="12" fillId="0" borderId="0" xfId="0" applyFont="1" applyAlignment="1">
      <alignment horizontal="center" vertical="top" wrapText="1"/>
    </xf>
    <xf numFmtId="0" fontId="4" fillId="0" borderId="7" xfId="0" applyFont="1" applyBorder="1" applyAlignment="1">
      <alignment horizontal="center" vertical="top" wrapText="1"/>
    </xf>
    <xf numFmtId="0" fontId="4" fillId="0" borderId="1" xfId="0" applyFont="1" applyBorder="1" applyAlignment="1">
      <alignment horizontal="center" vertical="top" wrapText="1"/>
    </xf>
    <xf numFmtId="0" fontId="4" fillId="0" borderId="13" xfId="0" applyFont="1" applyBorder="1" applyAlignment="1">
      <alignment horizontal="center" vertical="top" wrapText="1"/>
    </xf>
    <xf numFmtId="0" fontId="4" fillId="0" borderId="0" xfId="0" applyFont="1" applyAlignment="1">
      <alignment horizontal="center" vertical="top" wrapText="1"/>
    </xf>
    <xf numFmtId="0" fontId="8" fillId="0" borderId="2" xfId="0" applyFont="1" applyBorder="1" applyAlignment="1">
      <alignment horizontal="center" vertical="top" wrapText="1"/>
    </xf>
    <xf numFmtId="0" fontId="8" fillId="0" borderId="9" xfId="0" applyFont="1" applyBorder="1" applyAlignment="1">
      <alignment horizontal="center" vertical="top" wrapText="1"/>
    </xf>
    <xf numFmtId="0" fontId="19" fillId="0" borderId="10" xfId="0" applyFont="1" applyBorder="1" applyAlignment="1">
      <alignment horizontal="center" vertical="top" wrapText="1"/>
    </xf>
    <xf numFmtId="0" fontId="4" fillId="0" borderId="4" xfId="0" applyFont="1" applyBorder="1" applyAlignment="1">
      <alignment horizontal="center" vertical="top" wrapText="1"/>
    </xf>
    <xf numFmtId="0" fontId="3" fillId="0" borderId="8" xfId="0" applyFont="1" applyBorder="1" applyAlignment="1">
      <alignment horizontal="center" vertical="top" wrapText="1"/>
    </xf>
    <xf numFmtId="0" fontId="8" fillId="0" borderId="10" xfId="0" applyFont="1" applyBorder="1" applyAlignment="1">
      <alignment horizontal="center" vertical="top" wrapText="1"/>
    </xf>
    <xf numFmtId="0" fontId="8" fillId="0" borderId="6" xfId="0" applyFont="1" applyBorder="1" applyAlignment="1">
      <alignment horizontal="center" vertical="top" wrapText="1"/>
    </xf>
    <xf numFmtId="0" fontId="8" fillId="0" borderId="8" xfId="0" applyFont="1" applyBorder="1" applyAlignment="1">
      <alignment horizontal="center" vertical="top" wrapText="1"/>
    </xf>
    <xf numFmtId="0" fontId="14" fillId="0" borderId="8" xfId="0" applyFont="1" applyBorder="1" applyAlignment="1">
      <alignment horizontal="center" vertical="top"/>
    </xf>
    <xf numFmtId="0" fontId="0" fillId="0" borderId="1" xfId="0"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0" fillId="0" borderId="1" xfId="0" applyBorder="1" applyAlignment="1">
      <alignment vertical="top"/>
    </xf>
    <xf numFmtId="0" fontId="0" fillId="0" borderId="5" xfId="0" applyBorder="1" applyAlignment="1">
      <alignment vertical="top"/>
    </xf>
    <xf numFmtId="0" fontId="0" fillId="0" borderId="13" xfId="0" applyBorder="1" applyAlignment="1">
      <alignment vertical="top"/>
    </xf>
    <xf numFmtId="0" fontId="0" fillId="0" borderId="1" xfId="0" applyBorder="1"/>
    <xf numFmtId="0" fontId="4" fillId="4" borderId="13" xfId="0" applyFont="1" applyFill="1" applyBorder="1" applyAlignment="1">
      <alignment horizontal="left" vertical="center" wrapText="1"/>
    </xf>
    <xf numFmtId="0" fontId="12" fillId="0" borderId="14" xfId="0" applyFont="1" applyBorder="1" applyAlignment="1">
      <alignment vertical="top"/>
    </xf>
    <xf numFmtId="0" fontId="12" fillId="0" borderId="15" xfId="0" applyFont="1" applyBorder="1" applyAlignment="1">
      <alignment vertical="top"/>
    </xf>
    <xf numFmtId="0" fontId="12" fillId="0" borderId="7" xfId="0" applyFont="1" applyBorder="1" applyAlignment="1">
      <alignment vertical="top"/>
    </xf>
    <xf numFmtId="0" fontId="12" fillId="0" borderId="14" xfId="0" applyFont="1" applyBorder="1" applyAlignment="1">
      <alignment vertical="top" wrapText="1"/>
    </xf>
    <xf numFmtId="0" fontId="12" fillId="0" borderId="15" xfId="0" applyFont="1" applyBorder="1" applyAlignment="1">
      <alignment vertical="top" wrapText="1"/>
    </xf>
    <xf numFmtId="0" fontId="12" fillId="0" borderId="7" xfId="0" applyFont="1" applyBorder="1" applyAlignment="1">
      <alignment vertical="top" wrapText="1"/>
    </xf>
    <xf numFmtId="0" fontId="4" fillId="0" borderId="11" xfId="0" applyFont="1" applyBorder="1" applyAlignment="1">
      <alignment vertical="top" wrapText="1"/>
    </xf>
    <xf numFmtId="0" fontId="4" fillId="0" borderId="14" xfId="0" applyFont="1" applyBorder="1" applyAlignment="1">
      <alignment vertical="top"/>
    </xf>
    <xf numFmtId="0" fontId="4" fillId="0" borderId="15" xfId="0" applyFont="1" applyBorder="1" applyAlignment="1">
      <alignment vertical="top"/>
    </xf>
    <xf numFmtId="0" fontId="4" fillId="3" borderId="8" xfId="0" applyFont="1" applyFill="1" applyBorder="1" applyAlignment="1">
      <alignment horizontal="center" vertical="top"/>
    </xf>
    <xf numFmtId="0" fontId="3" fillId="0" borderId="1" xfId="0" applyFont="1" applyBorder="1" applyAlignment="1">
      <alignment vertical="top" wrapText="1"/>
    </xf>
    <xf numFmtId="0" fontId="4" fillId="0" borderId="0" xfId="0" applyFont="1" applyAlignment="1">
      <alignmen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xf>
    <xf numFmtId="3" fontId="4" fillId="4" borderId="8" xfId="0" applyNumberFormat="1" applyFont="1" applyFill="1" applyBorder="1" applyAlignment="1">
      <alignment vertical="top"/>
    </xf>
    <xf numFmtId="3" fontId="4" fillId="4" borderId="13" xfId="0" applyNumberFormat="1" applyFont="1" applyFill="1" applyBorder="1" applyAlignment="1">
      <alignment vertical="top"/>
    </xf>
    <xf numFmtId="3" fontId="4" fillId="4" borderId="13" xfId="0" applyNumberFormat="1" applyFont="1" applyFill="1" applyBorder="1" applyAlignment="1">
      <alignment horizontal="center" vertical="top"/>
    </xf>
    <xf numFmtId="9" fontId="4" fillId="4" borderId="12" xfId="3" applyFont="1" applyFill="1" applyBorder="1" applyAlignment="1">
      <alignment horizontal="center" vertical="top"/>
    </xf>
    <xf numFmtId="3" fontId="4" fillId="4" borderId="13" xfId="0" applyNumberFormat="1" applyFont="1" applyFill="1" applyBorder="1" applyAlignment="1">
      <alignment horizontal="right" vertical="top"/>
    </xf>
    <xf numFmtId="3" fontId="4" fillId="4" borderId="8" xfId="0" applyNumberFormat="1" applyFont="1" applyFill="1" applyBorder="1" applyAlignment="1">
      <alignment vertical="top" wrapText="1"/>
    </xf>
    <xf numFmtId="9" fontId="4" fillId="4" borderId="12" xfId="3" applyFont="1" applyFill="1" applyBorder="1" applyAlignment="1">
      <alignment vertical="top" wrapText="1"/>
    </xf>
    <xf numFmtId="9" fontId="4" fillId="4" borderId="8" xfId="3" applyFont="1" applyFill="1" applyBorder="1" applyAlignment="1">
      <alignment vertical="top"/>
    </xf>
    <xf numFmtId="9" fontId="4" fillId="4" borderId="8" xfId="0" applyNumberFormat="1" applyFont="1" applyFill="1" applyBorder="1" applyAlignment="1">
      <alignment vertical="top"/>
    </xf>
    <xf numFmtId="9" fontId="4" fillId="4" borderId="8" xfId="3" applyFont="1" applyFill="1" applyBorder="1" applyAlignment="1">
      <alignment vertical="top" wrapText="1"/>
    </xf>
    <xf numFmtId="0" fontId="4" fillId="4" borderId="8" xfId="0" applyFont="1" applyFill="1" applyBorder="1" applyAlignment="1">
      <alignment horizontal="center" vertical="top"/>
    </xf>
    <xf numFmtId="164" fontId="4" fillId="4" borderId="8" xfId="0" applyNumberFormat="1" applyFont="1" applyFill="1" applyBorder="1" applyAlignment="1">
      <alignment horizontal="center" vertical="top"/>
    </xf>
    <xf numFmtId="3" fontId="4" fillId="3" borderId="7" xfId="0" applyNumberFormat="1" applyFont="1" applyFill="1" applyBorder="1" applyAlignment="1" applyProtection="1">
      <alignment horizontal="right" vertical="top" wrapText="1"/>
      <protection locked="0"/>
    </xf>
    <xf numFmtId="9" fontId="4" fillId="4" borderId="12" xfId="3" applyFont="1" applyFill="1" applyBorder="1" applyAlignment="1">
      <alignment horizontal="center" vertical="center"/>
    </xf>
    <xf numFmtId="9" fontId="4" fillId="4" borderId="12" xfId="3" applyFont="1" applyFill="1" applyBorder="1" applyAlignment="1">
      <alignment horizontal="center" vertical="top" wrapText="1"/>
    </xf>
    <xf numFmtId="0" fontId="4" fillId="4" borderId="12" xfId="0" applyFont="1" applyFill="1" applyBorder="1" applyAlignment="1">
      <alignment horizontal="center" vertical="top" wrapText="1"/>
    </xf>
    <xf numFmtId="0" fontId="4" fillId="6" borderId="8" xfId="0" applyFont="1" applyFill="1" applyBorder="1" applyAlignment="1">
      <alignment horizontal="center" vertical="top" wrapText="1"/>
    </xf>
    <xf numFmtId="0" fontId="4" fillId="6" borderId="7" xfId="0" applyFont="1" applyFill="1" applyBorder="1" applyAlignment="1" applyProtection="1">
      <alignment horizontal="center" vertical="top" wrapText="1"/>
      <protection locked="0"/>
    </xf>
    <xf numFmtId="9" fontId="4" fillId="6" borderId="12" xfId="3" applyFont="1" applyFill="1" applyBorder="1" applyAlignment="1">
      <alignment horizontal="center" vertical="top" wrapText="1"/>
    </xf>
    <xf numFmtId="9" fontId="4" fillId="6" borderId="8" xfId="3" applyFont="1" applyFill="1" applyBorder="1" applyAlignment="1">
      <alignment horizontal="center" vertical="top" wrapText="1"/>
    </xf>
    <xf numFmtId="9" fontId="4" fillId="4" borderId="7" xfId="0" applyNumberFormat="1" applyFont="1" applyFill="1" applyBorder="1" applyAlignment="1">
      <alignment horizontal="center" vertical="top"/>
    </xf>
    <xf numFmtId="9" fontId="4" fillId="4" borderId="8" xfId="0" applyNumberFormat="1" applyFont="1" applyFill="1" applyBorder="1" applyAlignment="1">
      <alignment horizontal="center" vertical="top"/>
    </xf>
    <xf numFmtId="0" fontId="22" fillId="0" borderId="0" xfId="0" applyFont="1" applyAlignment="1">
      <alignment vertical="top"/>
    </xf>
    <xf numFmtId="9" fontId="4" fillId="3" borderId="8" xfId="0" applyNumberFormat="1" applyFont="1" applyFill="1" applyBorder="1" applyAlignment="1" applyProtection="1">
      <alignment horizontal="center" vertical="top"/>
      <protection locked="0"/>
    </xf>
    <xf numFmtId="9" fontId="4" fillId="4" borderId="14" xfId="0" applyNumberFormat="1" applyFont="1" applyFill="1" applyBorder="1" applyAlignment="1">
      <alignment horizontal="center" vertical="top"/>
    </xf>
    <xf numFmtId="0" fontId="0" fillId="0" borderId="16" xfId="0" applyBorder="1"/>
    <xf numFmtId="0" fontId="4" fillId="3" borderId="8" xfId="0" applyFont="1" applyFill="1" applyBorder="1" applyAlignment="1" applyProtection="1">
      <alignment horizontal="left" vertical="top"/>
      <protection locked="0"/>
    </xf>
    <xf numFmtId="0" fontId="3" fillId="3" borderId="24" xfId="0" applyFont="1" applyFill="1" applyBorder="1" applyAlignment="1">
      <alignment horizontal="left" vertical="top" wrapText="1"/>
    </xf>
    <xf numFmtId="0" fontId="3" fillId="3" borderId="25" xfId="0" applyFont="1" applyFill="1" applyBorder="1" applyAlignment="1">
      <alignment horizontal="left" vertical="top" wrapText="1"/>
    </xf>
    <xf numFmtId="0" fontId="3" fillId="3" borderId="26" xfId="0" applyFont="1" applyFill="1" applyBorder="1" applyAlignment="1">
      <alignment horizontal="left" vertical="top" wrapText="1"/>
    </xf>
    <xf numFmtId="0" fontId="12" fillId="0" borderId="14" xfId="0" applyFont="1" applyBorder="1" applyAlignment="1">
      <alignment horizontal="left" vertical="top"/>
    </xf>
    <xf numFmtId="0" fontId="4" fillId="5" borderId="8" xfId="0" applyFont="1" applyFill="1" applyBorder="1" applyAlignment="1" applyProtection="1">
      <alignment horizontal="left" vertical="top"/>
      <protection locked="0"/>
    </xf>
    <xf numFmtId="0" fontId="4" fillId="5" borderId="8" xfId="0" applyFont="1" applyFill="1" applyBorder="1" applyAlignment="1">
      <alignment vertical="top"/>
    </xf>
    <xf numFmtId="0" fontId="4" fillId="0" borderId="14" xfId="0" applyFont="1" applyBorder="1" applyAlignment="1">
      <alignment horizontal="left" vertical="top"/>
    </xf>
    <xf numFmtId="0" fontId="4" fillId="5" borderId="8" xfId="0" applyFont="1" applyFill="1" applyBorder="1" applyAlignment="1">
      <alignment horizontal="left" vertical="top" wrapText="1"/>
    </xf>
    <xf numFmtId="0" fontId="4" fillId="5" borderId="8" xfId="0" applyFont="1" applyFill="1" applyBorder="1" applyAlignment="1">
      <alignment horizontal="left" vertical="top"/>
    </xf>
    <xf numFmtId="0" fontId="7" fillId="0" borderId="0" xfId="0" applyFont="1" applyAlignment="1">
      <alignment horizontal="right" vertical="top"/>
    </xf>
    <xf numFmtId="0" fontId="4" fillId="0" borderId="0" xfId="0" applyFont="1" applyAlignment="1">
      <alignment horizontal="right" vertical="top"/>
    </xf>
    <xf numFmtId="0" fontId="0" fillId="0" borderId="0" xfId="0" applyAlignment="1">
      <alignment horizontal="right" vertical="top"/>
    </xf>
    <xf numFmtId="0" fontId="0" fillId="0" borderId="0" xfId="0" applyAlignment="1">
      <alignment horizontal="left" vertical="top" wrapText="1"/>
    </xf>
    <xf numFmtId="0" fontId="22" fillId="0" borderId="0" xfId="0" applyFont="1"/>
    <xf numFmtId="0" fontId="6" fillId="0" borderId="8"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0" fillId="0" borderId="6" xfId="0" applyBorder="1" applyAlignment="1" applyProtection="1">
      <alignment vertical="top" wrapText="1"/>
      <protection locked="0"/>
    </xf>
    <xf numFmtId="0" fontId="4" fillId="0" borderId="13"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12" fillId="0" borderId="14" xfId="0" applyFont="1" applyBorder="1" applyAlignment="1" applyProtection="1">
      <alignment vertical="top" wrapText="1"/>
      <protection locked="0"/>
    </xf>
    <xf numFmtId="0" fontId="12" fillId="0" borderId="15"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9" fontId="4" fillId="4" borderId="12" xfId="3" applyFont="1" applyFill="1" applyBorder="1" applyAlignment="1" applyProtection="1">
      <alignment horizontal="center" vertical="top"/>
    </xf>
    <xf numFmtId="3" fontId="4" fillId="3" borderId="8" xfId="0" applyNumberFormat="1" applyFont="1" applyFill="1" applyBorder="1" applyAlignment="1" applyProtection="1">
      <alignment vertical="top" wrapText="1"/>
      <protection locked="0"/>
    </xf>
    <xf numFmtId="0" fontId="0" fillId="3" borderId="16" xfId="0" applyFill="1" applyBorder="1" applyAlignment="1" applyProtection="1">
      <alignment vertical="top"/>
      <protection locked="0"/>
    </xf>
    <xf numFmtId="0" fontId="0" fillId="0" borderId="0" xfId="0" applyProtection="1">
      <protection locked="0"/>
    </xf>
    <xf numFmtId="3" fontId="4" fillId="4" borderId="8" xfId="0" applyNumberFormat="1" applyFont="1" applyFill="1" applyBorder="1" applyAlignment="1" applyProtection="1">
      <alignment vertical="top"/>
      <protection locked="0"/>
    </xf>
    <xf numFmtId="3" fontId="4" fillId="4" borderId="13" xfId="0" applyNumberFormat="1" applyFont="1" applyFill="1" applyBorder="1" applyAlignment="1" applyProtection="1">
      <alignment vertical="top"/>
      <protection locked="0"/>
    </xf>
    <xf numFmtId="0" fontId="0" fillId="0" borderId="8" xfId="0" applyBorder="1" applyAlignment="1" applyProtection="1">
      <alignment vertical="top"/>
      <protection locked="0"/>
    </xf>
    <xf numFmtId="0" fontId="12" fillId="0" borderId="12" xfId="0" applyFont="1" applyBorder="1" applyAlignment="1" applyProtection="1">
      <alignment vertical="top" wrapText="1"/>
      <protection locked="0"/>
    </xf>
    <xf numFmtId="0" fontId="4" fillId="0" borderId="1" xfId="0" applyFont="1" applyBorder="1" applyAlignment="1" applyProtection="1">
      <alignment horizontal="center" vertical="top" wrapText="1"/>
      <protection locked="0"/>
    </xf>
    <xf numFmtId="0" fontId="15" fillId="0" borderId="6" xfId="0" applyFont="1" applyBorder="1" applyAlignment="1" applyProtection="1">
      <alignment vertical="top" wrapText="1"/>
      <protection locked="0"/>
    </xf>
    <xf numFmtId="9" fontId="25" fillId="6" borderId="8" xfId="0" applyNumberFormat="1" applyFont="1" applyFill="1" applyBorder="1" applyAlignment="1">
      <alignment horizontal="center" vertical="top"/>
    </xf>
    <xf numFmtId="9" fontId="4" fillId="4" borderId="14" xfId="0" applyNumberFormat="1" applyFont="1" applyFill="1" applyBorder="1" applyAlignment="1">
      <alignment horizontal="right" vertical="top"/>
    </xf>
    <xf numFmtId="9" fontId="26" fillId="4" borderId="8" xfId="0" applyNumberFormat="1" applyFont="1" applyFill="1" applyBorder="1" applyAlignment="1">
      <alignment vertical="top"/>
    </xf>
    <xf numFmtId="0" fontId="14" fillId="0" borderId="16" xfId="0" applyFont="1" applyBorder="1"/>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4" fillId="0" borderId="12" xfId="0" applyFont="1" applyBorder="1" applyAlignment="1">
      <alignment horizontal="center" vertical="top" wrapText="1"/>
    </xf>
    <xf numFmtId="9" fontId="4" fillId="6" borderId="8" xfId="3" applyFont="1" applyFill="1" applyBorder="1" applyAlignment="1">
      <alignment horizontal="center" vertical="top"/>
    </xf>
    <xf numFmtId="9" fontId="8" fillId="4" borderId="14" xfId="0" applyNumberFormat="1" applyFont="1" applyFill="1" applyBorder="1" applyAlignment="1">
      <alignment horizontal="distributed" vertical="top"/>
    </xf>
    <xf numFmtId="0" fontId="4" fillId="3" borderId="7" xfId="0" applyFont="1" applyFill="1" applyBorder="1" applyAlignment="1" applyProtection="1">
      <alignment horizontal="center" vertical="top"/>
      <protection locked="0"/>
    </xf>
    <xf numFmtId="3" fontId="4" fillId="3" borderId="8" xfId="0" applyNumberFormat="1" applyFont="1" applyFill="1" applyBorder="1" applyAlignment="1" applyProtection="1">
      <alignment vertical="top"/>
      <protection locked="0"/>
    </xf>
    <xf numFmtId="165" fontId="4" fillId="4" borderId="12" xfId="4" applyNumberFormat="1" applyFont="1" applyFill="1" applyBorder="1" applyAlignment="1">
      <alignment horizontal="center" vertical="top" wrapText="1"/>
    </xf>
    <xf numFmtId="9" fontId="25" fillId="6" borderId="8" xfId="3" applyFont="1" applyFill="1" applyBorder="1" applyAlignment="1">
      <alignment horizontal="center" vertical="top" wrapText="1"/>
    </xf>
    <xf numFmtId="0" fontId="0" fillId="3" borderId="30" xfId="0" applyFill="1" applyBorder="1" applyAlignment="1">
      <alignment vertical="top"/>
    </xf>
    <xf numFmtId="0" fontId="23" fillId="6" borderId="18" xfId="0" applyFont="1" applyFill="1" applyBorder="1" applyAlignment="1">
      <alignment vertical="top"/>
    </xf>
    <xf numFmtId="0" fontId="0" fillId="6" borderId="20" xfId="0" applyFill="1" applyBorder="1" applyAlignment="1">
      <alignment vertical="top"/>
    </xf>
    <xf numFmtId="9" fontId="0" fillId="8" borderId="12" xfId="0" applyNumberFormat="1" applyFill="1" applyBorder="1" applyAlignment="1">
      <alignment horizontal="center" vertical="top"/>
    </xf>
    <xf numFmtId="9" fontId="7" fillId="3" borderId="16" xfId="0" applyNumberFormat="1" applyFont="1" applyFill="1" applyBorder="1" applyAlignment="1">
      <alignment horizontal="right" vertical="top"/>
    </xf>
    <xf numFmtId="9" fontId="0" fillId="0" borderId="0" xfId="3" applyFont="1"/>
    <xf numFmtId="9" fontId="0" fillId="6" borderId="12" xfId="0" applyNumberFormat="1" applyFill="1" applyBorder="1" applyAlignment="1">
      <alignment horizontal="center" vertical="top"/>
    </xf>
    <xf numFmtId="0" fontId="4" fillId="0" borderId="5" xfId="0" applyFont="1" applyBorder="1" applyAlignment="1" applyProtection="1">
      <alignment vertical="top" wrapText="1"/>
      <protection locked="0"/>
    </xf>
    <xf numFmtId="0" fontId="4" fillId="0" borderId="5" xfId="0" applyFont="1" applyBorder="1" applyAlignment="1">
      <alignment vertical="top" wrapText="1"/>
    </xf>
    <xf numFmtId="0" fontId="4" fillId="0" borderId="14" xfId="0" applyFont="1" applyBorder="1" applyAlignment="1" applyProtection="1">
      <alignment vertical="top"/>
      <protection locked="0"/>
    </xf>
    <xf numFmtId="0" fontId="4" fillId="0" borderId="7" xfId="0" applyFont="1" applyBorder="1" applyAlignment="1" applyProtection="1">
      <alignment vertical="top"/>
      <protection locked="0"/>
    </xf>
    <xf numFmtId="0" fontId="8" fillId="0" borderId="5" xfId="0" applyFont="1" applyBorder="1" applyAlignment="1" applyProtection="1">
      <alignment vertical="top" wrapText="1"/>
      <protection locked="0"/>
    </xf>
    <xf numFmtId="0" fontId="0" fillId="7" borderId="20" xfId="0" applyFill="1" applyBorder="1" applyAlignment="1">
      <alignment vertical="top"/>
    </xf>
    <xf numFmtId="9" fontId="4" fillId="3" borderId="8" xfId="0" applyNumberFormat="1" applyFont="1" applyFill="1" applyBorder="1" applyAlignment="1" applyProtection="1">
      <alignment horizontal="center" vertical="top" wrapText="1"/>
      <protection locked="0"/>
    </xf>
    <xf numFmtId="0" fontId="4" fillId="6" borderId="8" xfId="0" applyFont="1" applyFill="1" applyBorder="1" applyAlignment="1" applyProtection="1">
      <alignment horizontal="left" vertical="top"/>
      <protection locked="0"/>
    </xf>
    <xf numFmtId="0" fontId="2" fillId="0" borderId="0" xfId="0" applyFont="1" applyAlignment="1">
      <alignment vertical="top"/>
    </xf>
    <xf numFmtId="0" fontId="2" fillId="0" borderId="0" xfId="0" applyFont="1" applyAlignment="1">
      <alignment horizontal="center" vertical="top"/>
    </xf>
    <xf numFmtId="0" fontId="23" fillId="6" borderId="18" xfId="1" applyFont="1" applyFill="1" applyBorder="1" applyAlignment="1" applyProtection="1">
      <alignment vertical="top"/>
    </xf>
    <xf numFmtId="0" fontId="1" fillId="6" borderId="20" xfId="1" applyFill="1" applyBorder="1" applyAlignment="1" applyProtection="1">
      <alignment vertical="top"/>
    </xf>
    <xf numFmtId="9" fontId="7" fillId="6" borderId="12" xfId="0" applyNumberFormat="1" applyFont="1" applyFill="1" applyBorder="1" applyAlignment="1">
      <alignment horizontal="center" vertical="top"/>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14" xfId="0" applyFont="1" applyBorder="1" applyAlignment="1">
      <alignment horizontal="center" vertical="top" wrapText="1"/>
    </xf>
    <xf numFmtId="0" fontId="4" fillId="0" borderId="9" xfId="0" applyFont="1" applyBorder="1" applyAlignment="1">
      <alignment vertical="top" wrapText="1"/>
    </xf>
    <xf numFmtId="0" fontId="4" fillId="0" borderId="8" xfId="0" applyFont="1" applyBorder="1" applyAlignment="1" applyProtection="1">
      <alignment horizontal="left" vertical="top"/>
      <protection locked="0"/>
    </xf>
    <xf numFmtId="0" fontId="4" fillId="5" borderId="8" xfId="0" applyFont="1" applyFill="1" applyBorder="1" applyAlignment="1" applyProtection="1">
      <alignment vertical="top" wrapText="1"/>
      <protection locked="0"/>
    </xf>
    <xf numFmtId="9" fontId="4" fillId="9" borderId="12" xfId="3" applyFont="1" applyFill="1" applyBorder="1" applyAlignment="1" applyProtection="1">
      <alignment horizontal="center" vertical="top"/>
    </xf>
    <xf numFmtId="0" fontId="12" fillId="0" borderId="14" xfId="0" applyFont="1" applyBorder="1" applyAlignment="1">
      <alignment horizontal="center" vertical="top"/>
    </xf>
    <xf numFmtId="0" fontId="4" fillId="5" borderId="8" xfId="0" applyFont="1" applyFill="1" applyBorder="1" applyAlignment="1" applyProtection="1">
      <alignment vertical="top"/>
      <protection locked="0"/>
    </xf>
    <xf numFmtId="0" fontId="0" fillId="0" borderId="7" xfId="0" applyBorder="1" applyAlignment="1">
      <alignment vertical="top"/>
    </xf>
    <xf numFmtId="0" fontId="5" fillId="0" borderId="14" xfId="0" applyFont="1" applyBorder="1" applyAlignment="1">
      <alignment vertical="top" wrapText="1"/>
    </xf>
    <xf numFmtId="0" fontId="0" fillId="0" borderId="4" xfId="0" applyBorder="1" applyAlignment="1">
      <alignment vertical="top"/>
    </xf>
    <xf numFmtId="0" fontId="4" fillId="0" borderId="14" xfId="0" applyFont="1" applyBorder="1" applyAlignment="1">
      <alignment vertical="top" wrapText="1"/>
    </xf>
    <xf numFmtId="0" fontId="7" fillId="0" borderId="11" xfId="0" applyFont="1" applyBorder="1" applyAlignment="1">
      <alignment vertical="top" wrapText="1"/>
    </xf>
    <xf numFmtId="0" fontId="5" fillId="0" borderId="14" xfId="0" applyFont="1" applyBorder="1" applyAlignment="1">
      <alignment vertical="top"/>
    </xf>
    <xf numFmtId="0" fontId="4" fillId="0" borderId="10" xfId="0" applyFont="1" applyBorder="1" applyAlignment="1">
      <alignment vertical="top" wrapText="1"/>
    </xf>
    <xf numFmtId="0" fontId="4" fillId="0" borderId="11" xfId="0" applyFont="1" applyBorder="1" applyAlignment="1">
      <alignment horizontal="center" vertical="top" wrapText="1"/>
    </xf>
    <xf numFmtId="0" fontId="4" fillId="0" borderId="15" xfId="0" applyFont="1" applyBorder="1" applyAlignment="1">
      <alignment vertical="top" wrapText="1"/>
    </xf>
    <xf numFmtId="0" fontId="14" fillId="0" borderId="0" xfId="0" applyFont="1" applyAlignment="1">
      <alignment vertical="top" wrapText="1"/>
    </xf>
    <xf numFmtId="0" fontId="14" fillId="0" borderId="0" xfId="0" applyFont="1" applyAlignment="1">
      <alignment horizontal="center" vertical="top" wrapText="1"/>
    </xf>
    <xf numFmtId="0" fontId="4" fillId="3" borderId="7" xfId="0" applyFont="1" applyFill="1" applyBorder="1" applyAlignment="1" applyProtection="1">
      <alignment vertical="top"/>
      <protection locked="0"/>
    </xf>
    <xf numFmtId="0" fontId="4" fillId="0" borderId="5" xfId="0" applyFont="1" applyBorder="1" applyAlignment="1">
      <alignment horizontal="left" vertical="top" wrapText="1"/>
    </xf>
    <xf numFmtId="0" fontId="4" fillId="0" borderId="12" xfId="0" applyFont="1" applyBorder="1" applyAlignment="1">
      <alignment vertical="top"/>
    </xf>
    <xf numFmtId="0" fontId="4" fillId="9" borderId="8" xfId="0" applyFont="1" applyFill="1" applyBorder="1" applyAlignment="1" applyProtection="1">
      <alignment vertical="top"/>
      <protection locked="0"/>
    </xf>
    <xf numFmtId="0" fontId="4" fillId="9" borderId="8" xfId="0" applyFont="1" applyFill="1" applyBorder="1" applyAlignment="1" applyProtection="1">
      <alignment horizontal="center" vertical="top"/>
      <protection locked="0"/>
    </xf>
    <xf numFmtId="0" fontId="4" fillId="9" borderId="7" xfId="0" applyFont="1" applyFill="1" applyBorder="1" applyAlignment="1">
      <alignment vertical="top"/>
    </xf>
    <xf numFmtId="0" fontId="4" fillId="0" borderId="8" xfId="0" applyFont="1" applyBorder="1" applyAlignment="1">
      <alignment horizontal="left" vertical="top" wrapText="1"/>
    </xf>
    <xf numFmtId="0" fontId="17" fillId="0" borderId="8" xfId="2" applyBorder="1" applyAlignment="1" applyProtection="1">
      <alignment vertical="top" wrapText="1"/>
    </xf>
    <xf numFmtId="0" fontId="0" fillId="0" borderId="9" xfId="0" applyBorder="1" applyProtection="1">
      <protection locked="0"/>
    </xf>
    <xf numFmtId="0" fontId="8" fillId="0" borderId="7" xfId="0" applyFont="1" applyBorder="1" applyAlignment="1">
      <alignment horizontal="center" vertical="top" wrapText="1"/>
    </xf>
    <xf numFmtId="0" fontId="3" fillId="0" borderId="7" xfId="0" applyFont="1" applyBorder="1" applyAlignment="1">
      <alignment horizontal="center" vertical="top" wrapText="1"/>
    </xf>
    <xf numFmtId="0" fontId="4" fillId="6" borderId="8" xfId="0" applyFont="1" applyFill="1" applyBorder="1" applyAlignment="1">
      <alignment vertical="top"/>
    </xf>
    <xf numFmtId="9" fontId="4" fillId="6" borderId="8" xfId="0" applyNumberFormat="1" applyFont="1" applyFill="1" applyBorder="1" applyAlignment="1">
      <alignment horizontal="center" vertical="top"/>
    </xf>
    <xf numFmtId="0" fontId="3" fillId="0" borderId="12" xfId="0" applyFont="1" applyBorder="1" applyAlignment="1">
      <alignment horizontal="center" vertical="top" wrapText="1"/>
    </xf>
    <xf numFmtId="0" fontId="12" fillId="0" borderId="4" xfId="0" applyFont="1" applyBorder="1" applyAlignment="1">
      <alignment vertical="top"/>
    </xf>
    <xf numFmtId="0" fontId="12" fillId="0" borderId="12" xfId="0" applyFont="1" applyBorder="1" applyAlignment="1">
      <alignment vertical="top"/>
    </xf>
    <xf numFmtId="9" fontId="4" fillId="5" borderId="8" xfId="0" applyNumberFormat="1" applyFont="1" applyFill="1" applyBorder="1" applyAlignment="1">
      <alignment vertical="top" wrapText="1"/>
    </xf>
    <xf numFmtId="9" fontId="0" fillId="0" borderId="0" xfId="0" applyNumberFormat="1" applyAlignment="1">
      <alignment vertical="top"/>
    </xf>
    <xf numFmtId="0" fontId="8" fillId="0" borderId="5" xfId="0" applyFont="1" applyBorder="1" applyAlignment="1">
      <alignment vertical="top" wrapText="1"/>
    </xf>
    <xf numFmtId="0" fontId="4" fillId="3" borderId="8" xfId="0" applyFont="1" applyFill="1" applyBorder="1" applyAlignment="1" applyProtection="1">
      <alignment horizontal="center" vertical="top"/>
      <protection locked="0"/>
    </xf>
    <xf numFmtId="0" fontId="4" fillId="3" borderId="8" xfId="0" applyFont="1" applyFill="1" applyBorder="1" applyAlignment="1" applyProtection="1">
      <alignment horizontal="center" vertical="top" wrapText="1"/>
      <protection locked="0"/>
    </xf>
    <xf numFmtId="3" fontId="4" fillId="4" borderId="8" xfId="0" applyNumberFormat="1" applyFont="1" applyFill="1" applyBorder="1" applyAlignment="1">
      <alignment horizontal="center" vertical="top"/>
    </xf>
    <xf numFmtId="0" fontId="3" fillId="0" borderId="9" xfId="0" applyFont="1" applyBorder="1" applyAlignment="1">
      <alignment vertical="top"/>
    </xf>
    <xf numFmtId="3" fontId="4" fillId="9" borderId="13" xfId="0" applyNumberFormat="1" applyFont="1" applyFill="1" applyBorder="1" applyAlignment="1">
      <alignment horizontal="right" vertical="top"/>
    </xf>
    <xf numFmtId="3" fontId="4" fillId="9" borderId="13" xfId="0" applyNumberFormat="1" applyFont="1" applyFill="1" applyBorder="1" applyAlignment="1">
      <alignment horizontal="center" vertical="top"/>
    </xf>
    <xf numFmtId="0" fontId="4" fillId="9" borderId="8" xfId="0" applyFont="1" applyFill="1" applyBorder="1" applyAlignment="1">
      <alignment vertical="top"/>
    </xf>
    <xf numFmtId="0" fontId="4" fillId="0" borderId="31" xfId="0" applyFont="1" applyBorder="1" applyAlignment="1">
      <alignment vertical="top"/>
    </xf>
    <xf numFmtId="0" fontId="4" fillId="0" borderId="32" xfId="0" applyFont="1" applyBorder="1" applyAlignment="1">
      <alignment vertical="top"/>
    </xf>
    <xf numFmtId="0" fontId="4" fillId="0" borderId="33" xfId="0" applyFont="1" applyBorder="1" applyAlignment="1">
      <alignment vertical="top"/>
    </xf>
    <xf numFmtId="0" fontId="4" fillId="0" borderId="34" xfId="0" applyFont="1" applyBorder="1" applyAlignment="1">
      <alignment vertical="top"/>
    </xf>
    <xf numFmtId="3" fontId="4" fillId="6" borderId="16" xfId="0" applyNumberFormat="1" applyFont="1" applyFill="1" applyBorder="1" applyAlignment="1">
      <alignment horizontal="center" vertical="top"/>
    </xf>
    <xf numFmtId="3" fontId="4" fillId="6" borderId="35" xfId="0" applyNumberFormat="1" applyFont="1" applyFill="1" applyBorder="1" applyAlignment="1">
      <alignment horizontal="center" vertical="top"/>
    </xf>
    <xf numFmtId="0" fontId="4" fillId="0" borderId="34" xfId="0" applyFont="1" applyBorder="1" applyAlignment="1">
      <alignment vertical="top" wrapText="1"/>
    </xf>
    <xf numFmtId="9" fontId="4" fillId="6" borderId="36" xfId="3" applyFont="1" applyFill="1" applyBorder="1" applyAlignment="1" applyProtection="1">
      <alignment horizontal="center" vertical="top"/>
    </xf>
    <xf numFmtId="0" fontId="4" fillId="3" borderId="12"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6" xfId="0" applyBorder="1" applyProtection="1">
      <protection locked="0"/>
    </xf>
    <xf numFmtId="0" fontId="0" fillId="0" borderId="10" xfId="0" applyBorder="1" applyAlignment="1" applyProtection="1">
      <alignment vertical="top"/>
      <protection locked="0"/>
    </xf>
    <xf numFmtId="0" fontId="0" fillId="0" borderId="11" xfId="0" applyBorder="1" applyProtection="1">
      <protection locked="0"/>
    </xf>
    <xf numFmtId="0" fontId="0" fillId="0" borderId="8" xfId="0" applyBorder="1" applyProtection="1">
      <protection locked="0"/>
    </xf>
    <xf numFmtId="0" fontId="0" fillId="0" borderId="2" xfId="0" applyBorder="1" applyAlignment="1">
      <alignment vertical="top"/>
    </xf>
    <xf numFmtId="0" fontId="0" fillId="0" borderId="3" xfId="0" applyBorder="1"/>
    <xf numFmtId="0" fontId="0" fillId="0" borderId="4" xfId="0" applyBorder="1"/>
    <xf numFmtId="3" fontId="4" fillId="0" borderId="8" xfId="0" applyNumberFormat="1" applyFont="1" applyBorder="1" applyAlignment="1">
      <alignment vertical="top"/>
    </xf>
    <xf numFmtId="3" fontId="4" fillId="4" borderId="16" xfId="0" applyNumberFormat="1" applyFont="1" applyFill="1" applyBorder="1" applyAlignment="1">
      <alignment horizontal="right" vertical="top"/>
    </xf>
    <xf numFmtId="3" fontId="4" fillId="6" borderId="13" xfId="0" applyNumberFormat="1" applyFont="1" applyFill="1" applyBorder="1" applyAlignment="1">
      <alignment horizontal="right" vertical="top"/>
    </xf>
    <xf numFmtId="9" fontId="4" fillId="4" borderId="16" xfId="3" applyFont="1" applyFill="1" applyBorder="1" applyAlignment="1">
      <alignment horizontal="right" vertical="top"/>
    </xf>
    <xf numFmtId="9" fontId="4" fillId="3" borderId="16" xfId="0" applyNumberFormat="1" applyFont="1" applyFill="1" applyBorder="1" applyAlignment="1" applyProtection="1">
      <alignment horizontal="center" vertical="top"/>
      <protection locked="0"/>
    </xf>
    <xf numFmtId="0" fontId="28" fillId="0" borderId="16" xfId="0" applyFont="1" applyBorder="1" applyAlignment="1">
      <alignment vertical="top"/>
    </xf>
    <xf numFmtId="9" fontId="4" fillId="0" borderId="16" xfId="0" applyNumberFormat="1" applyFont="1" applyBorder="1" applyAlignment="1" applyProtection="1">
      <alignment horizontal="center" vertical="top"/>
      <protection locked="0"/>
    </xf>
    <xf numFmtId="9" fontId="4" fillId="3" borderId="20" xfId="0" applyNumberFormat="1" applyFont="1" applyFill="1" applyBorder="1" applyAlignment="1" applyProtection="1">
      <alignment horizontal="right" vertical="top"/>
      <protection locked="0"/>
    </xf>
    <xf numFmtId="1" fontId="4" fillId="4" borderId="12" xfId="3" applyNumberFormat="1" applyFont="1" applyFill="1" applyBorder="1" applyAlignment="1">
      <alignment horizontal="center" vertical="top"/>
    </xf>
    <xf numFmtId="0" fontId="8" fillId="0" borderId="0" xfId="0" applyFont="1" applyAlignment="1">
      <alignment vertical="top" wrapText="1"/>
    </xf>
    <xf numFmtId="0" fontId="8" fillId="0" borderId="12" xfId="0" applyFont="1" applyBorder="1" applyAlignment="1">
      <alignment vertical="top" wrapText="1"/>
    </xf>
    <xf numFmtId="9" fontId="0" fillId="6" borderId="12" xfId="3" applyFont="1" applyFill="1" applyBorder="1" applyAlignment="1">
      <alignment horizontal="center" vertical="top"/>
    </xf>
    <xf numFmtId="0" fontId="3" fillId="0" borderId="3" xfId="0" applyFont="1" applyBorder="1" applyAlignment="1">
      <alignment vertical="top" wrapText="1"/>
    </xf>
    <xf numFmtId="0" fontId="28" fillId="0" borderId="16" xfId="0" applyFont="1" applyBorder="1" applyAlignment="1">
      <alignment vertical="top" wrapText="1"/>
    </xf>
    <xf numFmtId="9" fontId="4" fillId="3" borderId="12" xfId="0" applyNumberFormat="1" applyFont="1" applyFill="1" applyBorder="1" applyAlignment="1" applyProtection="1">
      <alignment vertical="top"/>
      <protection locked="0"/>
    </xf>
    <xf numFmtId="9" fontId="4" fillId="4" borderId="12" xfId="0" applyNumberFormat="1" applyFont="1" applyFill="1" applyBorder="1" applyAlignment="1">
      <alignment horizontal="right" vertical="top"/>
    </xf>
    <xf numFmtId="0" fontId="0" fillId="0" borderId="6" xfId="0" applyBorder="1" applyAlignment="1">
      <alignment horizontal="center" vertical="top"/>
    </xf>
    <xf numFmtId="3" fontId="4" fillId="4" borderId="8" xfId="0" applyNumberFormat="1" applyFont="1" applyFill="1" applyBorder="1" applyAlignment="1">
      <alignment horizontal="right" vertical="top"/>
    </xf>
    <xf numFmtId="3" fontId="4" fillId="4" borderId="8" xfId="0" applyNumberFormat="1" applyFont="1" applyFill="1" applyBorder="1" applyAlignment="1">
      <alignment horizontal="right" vertical="top" wrapText="1"/>
    </xf>
    <xf numFmtId="9" fontId="4" fillId="4" borderId="3" xfId="3" applyFont="1" applyFill="1" applyBorder="1" applyAlignment="1" applyProtection="1">
      <alignment horizontal="center" vertical="top"/>
    </xf>
    <xf numFmtId="9" fontId="4" fillId="4" borderId="4" xfId="3" applyFont="1" applyFill="1" applyBorder="1" applyAlignment="1" applyProtection="1">
      <alignment horizontal="center" vertical="top"/>
    </xf>
    <xf numFmtId="0" fontId="4" fillId="0" borderId="14" xfId="0" applyFont="1" applyBorder="1" applyAlignment="1" applyProtection="1">
      <alignment horizontal="left" vertical="top"/>
      <protection locked="0"/>
    </xf>
    <xf numFmtId="9" fontId="4" fillId="4" borderId="8" xfId="3" applyFont="1" applyFill="1" applyBorder="1" applyAlignment="1" applyProtection="1">
      <alignment horizontal="right" vertical="top"/>
    </xf>
    <xf numFmtId="0" fontId="4" fillId="0" borderId="12" xfId="0" applyFont="1" applyBorder="1" applyAlignment="1">
      <alignment horizontal="center" vertical="center" wrapText="1"/>
    </xf>
    <xf numFmtId="0" fontId="3" fillId="3" borderId="8" xfId="0" applyFont="1" applyFill="1" applyBorder="1" applyAlignment="1" applyProtection="1">
      <alignment horizontal="center" vertical="top" wrapText="1"/>
      <protection locked="0"/>
    </xf>
    <xf numFmtId="9" fontId="25" fillId="6" borderId="16" xfId="0" applyNumberFormat="1" applyFont="1" applyFill="1" applyBorder="1" applyAlignment="1">
      <alignment horizontal="right" vertical="top"/>
    </xf>
    <xf numFmtId="9" fontId="25" fillId="6" borderId="16" xfId="3" applyFont="1" applyFill="1" applyBorder="1" applyAlignment="1" applyProtection="1">
      <alignment horizontal="right" vertical="top"/>
    </xf>
    <xf numFmtId="0" fontId="14" fillId="6" borderId="16" xfId="0" applyFont="1" applyFill="1" applyBorder="1" applyAlignment="1">
      <alignment horizontal="right"/>
    </xf>
    <xf numFmtId="0" fontId="14" fillId="6" borderId="37" xfId="0" applyFont="1" applyFill="1" applyBorder="1" applyAlignment="1">
      <alignment horizontal="right"/>
    </xf>
    <xf numFmtId="0" fontId="14" fillId="6" borderId="30" xfId="0" applyFont="1" applyFill="1" applyBorder="1" applyAlignment="1">
      <alignment horizontal="right"/>
    </xf>
    <xf numFmtId="9" fontId="25" fillId="6" borderId="16" xfId="0" applyNumberFormat="1" applyFont="1" applyFill="1" applyBorder="1" applyAlignment="1">
      <alignment horizontal="right" vertical="top" wrapText="1"/>
    </xf>
    <xf numFmtId="9" fontId="25" fillId="6" borderId="16" xfId="3" applyFont="1" applyFill="1" applyBorder="1" applyAlignment="1">
      <alignment horizontal="right" vertical="top"/>
    </xf>
    <xf numFmtId="0" fontId="0" fillId="3" borderId="16" xfId="0" applyFill="1" applyBorder="1" applyAlignment="1" applyProtection="1">
      <alignment horizontal="center"/>
      <protection locked="0"/>
    </xf>
    <xf numFmtId="0" fontId="0" fillId="3" borderId="16" xfId="0" applyFill="1" applyBorder="1" applyAlignment="1" applyProtection="1">
      <alignment horizontal="center" vertical="center"/>
      <protection locked="0"/>
    </xf>
    <xf numFmtId="0" fontId="4" fillId="3" borderId="15" xfId="0" applyFont="1" applyFill="1" applyBorder="1" applyAlignment="1" applyProtection="1">
      <alignment horizontal="center" vertical="top" wrapText="1"/>
      <protection locked="0"/>
    </xf>
    <xf numFmtId="9" fontId="4" fillId="4" borderId="14" xfId="3" applyFont="1" applyFill="1" applyBorder="1" applyAlignment="1">
      <alignment horizontal="center" vertical="center"/>
    </xf>
    <xf numFmtId="0" fontId="0" fillId="0" borderId="9" xfId="0" applyBorder="1" applyAlignment="1">
      <alignment vertical="top"/>
    </xf>
    <xf numFmtId="0" fontId="0" fillId="0" borderId="10" xfId="0" applyBorder="1" applyAlignment="1">
      <alignment vertical="top"/>
    </xf>
    <xf numFmtId="0" fontId="4" fillId="7" borderId="8" xfId="0" applyFont="1" applyFill="1" applyBorder="1" applyAlignment="1" applyProtection="1">
      <alignment horizontal="left" vertical="top"/>
      <protection locked="0"/>
    </xf>
    <xf numFmtId="3" fontId="4" fillId="3" borderId="16" xfId="0" applyNumberFormat="1" applyFont="1" applyFill="1" applyBorder="1" applyAlignment="1" applyProtection="1">
      <alignment vertical="top"/>
      <protection locked="0"/>
    </xf>
    <xf numFmtId="0" fontId="4" fillId="10" borderId="8" xfId="0" applyFont="1" applyFill="1" applyBorder="1" applyAlignment="1">
      <alignment vertical="top" wrapText="1"/>
    </xf>
    <xf numFmtId="3" fontId="4" fillId="3" borderId="13" xfId="0" applyNumberFormat="1" applyFont="1" applyFill="1" applyBorder="1" applyAlignment="1" applyProtection="1">
      <alignment vertical="top" wrapText="1"/>
      <protection locked="0"/>
    </xf>
    <xf numFmtId="0" fontId="8" fillId="3" borderId="8" xfId="0" applyFont="1" applyFill="1" applyBorder="1" applyAlignment="1" applyProtection="1">
      <alignment vertical="top"/>
      <protection locked="0"/>
    </xf>
    <xf numFmtId="0" fontId="4" fillId="3" borderId="8" xfId="0" applyFont="1" applyFill="1" applyBorder="1" applyAlignment="1" applyProtection="1">
      <alignment horizontal="left" vertical="top" wrapText="1"/>
      <protection locked="0"/>
    </xf>
    <xf numFmtId="0" fontId="4" fillId="3" borderId="12" xfId="0" applyFont="1" applyFill="1" applyBorder="1" applyAlignment="1" applyProtection="1">
      <alignment vertical="top" wrapText="1"/>
      <protection locked="0"/>
    </xf>
    <xf numFmtId="0" fontId="3" fillId="3" borderId="8" xfId="0" applyFont="1" applyFill="1" applyBorder="1" applyAlignment="1" applyProtection="1">
      <alignment vertical="top" wrapText="1"/>
      <protection locked="0"/>
    </xf>
    <xf numFmtId="0" fontId="14" fillId="3" borderId="8" xfId="0" applyFont="1" applyFill="1" applyBorder="1" applyAlignment="1" applyProtection="1">
      <alignment horizontal="center" vertical="top"/>
      <protection locked="0"/>
    </xf>
    <xf numFmtId="3" fontId="7" fillId="3" borderId="16" xfId="0" applyNumberFormat="1" applyFont="1" applyFill="1" applyBorder="1" applyAlignment="1" applyProtection="1">
      <alignment horizontal="right" vertical="top"/>
      <protection locked="0"/>
    </xf>
    <xf numFmtId="165" fontId="7" fillId="3" borderId="16" xfId="0" applyNumberFormat="1" applyFont="1" applyFill="1" applyBorder="1" applyAlignment="1" applyProtection="1">
      <alignment horizontal="right" vertical="top"/>
      <protection locked="0"/>
    </xf>
    <xf numFmtId="165" fontId="7" fillId="3" borderId="16" xfId="4" applyNumberFormat="1" applyFont="1" applyFill="1" applyBorder="1" applyAlignment="1" applyProtection="1">
      <alignment horizontal="right" vertical="top"/>
      <protection locked="0"/>
    </xf>
    <xf numFmtId="9" fontId="3" fillId="3" borderId="8" xfId="0" applyNumberFormat="1" applyFont="1" applyFill="1" applyBorder="1" applyAlignment="1" applyProtection="1">
      <alignment horizontal="center" vertical="top"/>
      <protection locked="0"/>
    </xf>
    <xf numFmtId="0" fontId="29" fillId="0" borderId="1" xfId="0" applyFont="1" applyBorder="1" applyAlignment="1">
      <alignment vertical="top" wrapText="1"/>
    </xf>
    <xf numFmtId="164" fontId="4" fillId="3" borderId="8" xfId="0" applyNumberFormat="1" applyFont="1" applyFill="1" applyBorder="1" applyAlignment="1" applyProtection="1">
      <alignment horizontal="center" vertical="top"/>
      <protection locked="0"/>
    </xf>
    <xf numFmtId="165" fontId="4" fillId="8" borderId="15" xfId="0" applyNumberFormat="1" applyFont="1" applyFill="1" applyBorder="1" applyAlignment="1" applyProtection="1">
      <alignment horizontal="center" wrapText="1"/>
      <protection locked="0"/>
    </xf>
    <xf numFmtId="0" fontId="4" fillId="0" borderId="0" xfId="0" applyFont="1" applyAlignment="1">
      <alignment vertical="center" wrapText="1"/>
    </xf>
    <xf numFmtId="0" fontId="4" fillId="0" borderId="6" xfId="0" applyFont="1" applyBorder="1" applyAlignment="1">
      <alignment vertical="center" wrapText="1"/>
    </xf>
    <xf numFmtId="0" fontId="0" fillId="3" borderId="30" xfId="0" applyFill="1" applyBorder="1" applyAlignment="1" applyProtection="1">
      <alignment vertical="top"/>
      <protection locked="0"/>
    </xf>
    <xf numFmtId="0" fontId="4" fillId="0" borderId="16" xfId="0" applyFont="1" applyBorder="1" applyAlignment="1">
      <alignment vertical="top"/>
    </xf>
    <xf numFmtId="9" fontId="4" fillId="4" borderId="13" xfId="3" applyFont="1" applyFill="1" applyBorder="1" applyAlignment="1">
      <alignment horizontal="center" vertical="top" wrapText="1"/>
    </xf>
    <xf numFmtId="0" fontId="0" fillId="3" borderId="34" xfId="0"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3" fillId="0" borderId="1" xfId="0" applyFont="1" applyBorder="1" applyAlignment="1" applyProtection="1">
      <alignment vertical="top" wrapText="1"/>
      <protection locked="0"/>
    </xf>
    <xf numFmtId="9" fontId="4" fillId="3" borderId="12" xfId="3" applyFont="1" applyFill="1" applyBorder="1" applyAlignment="1" applyProtection="1">
      <alignment horizontal="center" vertical="top"/>
      <protection locked="0"/>
    </xf>
    <xf numFmtId="0" fontId="17" fillId="0" borderId="0" xfId="2" applyFill="1"/>
    <xf numFmtId="0" fontId="0" fillId="0" borderId="16" xfId="0" applyBorder="1" applyAlignment="1">
      <alignment horizontal="center"/>
    </xf>
    <xf numFmtId="0" fontId="17" fillId="0" borderId="0" xfId="2" applyFill="1" applyBorder="1"/>
    <xf numFmtId="0" fontId="4" fillId="3" borderId="16" xfId="0" applyFont="1" applyFill="1" applyBorder="1" applyAlignment="1" applyProtection="1">
      <alignment horizontal="center" vertical="top" wrapText="1"/>
      <protection locked="0"/>
    </xf>
    <xf numFmtId="0" fontId="7" fillId="3" borderId="16" xfId="0" applyFont="1" applyFill="1" applyBorder="1" applyAlignment="1" applyProtection="1">
      <alignment horizontal="center" vertical="top"/>
      <protection locked="0"/>
    </xf>
    <xf numFmtId="0" fontId="7" fillId="0" borderId="16" xfId="0" applyFont="1" applyBorder="1" applyAlignment="1">
      <alignment horizontal="center" vertical="center"/>
    </xf>
    <xf numFmtId="0" fontId="7" fillId="0" borderId="16" xfId="0" applyFont="1" applyBorder="1" applyAlignment="1">
      <alignment horizontal="center" vertical="center" wrapText="1"/>
    </xf>
    <xf numFmtId="0" fontId="0" fillId="0" borderId="16" xfId="0" applyBorder="1" applyAlignment="1">
      <alignment vertical="center"/>
    </xf>
    <xf numFmtId="0" fontId="0" fillId="0" borderId="16" xfId="0"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pplyProtection="1">
      <alignment horizontal="center" vertical="center"/>
      <protection locked="0"/>
    </xf>
    <xf numFmtId="0" fontId="7" fillId="0" borderId="19" xfId="0" applyFont="1" applyBorder="1" applyAlignment="1">
      <alignment horizontal="center" vertical="center"/>
    </xf>
    <xf numFmtId="0" fontId="17" fillId="0" borderId="0" xfId="2" applyFill="1" applyProtection="1"/>
    <xf numFmtId="0" fontId="17" fillId="0" borderId="0" xfId="2" applyFill="1" applyBorder="1" applyProtection="1"/>
    <xf numFmtId="9" fontId="4" fillId="4" borderId="8" xfId="3" applyFont="1" applyFill="1" applyBorder="1" applyAlignment="1" applyProtection="1">
      <alignment vertical="top"/>
    </xf>
    <xf numFmtId="9" fontId="0" fillId="0" borderId="0" xfId="0" applyNumberFormat="1"/>
    <xf numFmtId="9" fontId="4" fillId="4" borderId="12" xfId="0" applyNumberFormat="1" applyFont="1" applyFill="1" applyBorder="1" applyAlignment="1">
      <alignment horizontal="center" vertical="top"/>
    </xf>
    <xf numFmtId="0" fontId="0" fillId="3" borderId="16" xfId="0" applyFill="1" applyBorder="1" applyAlignment="1" applyProtection="1">
      <alignment horizontal="left" vertical="top"/>
      <protection locked="0"/>
    </xf>
    <xf numFmtId="0" fontId="0" fillId="3" borderId="16" xfId="0" applyFill="1" applyBorder="1" applyAlignment="1" applyProtection="1">
      <alignment horizontal="left" vertical="top" wrapText="1"/>
      <protection locked="0"/>
    </xf>
    <xf numFmtId="0" fontId="17" fillId="0" borderId="0" xfId="2" applyProtection="1">
      <protection locked="0"/>
    </xf>
    <xf numFmtId="0" fontId="4" fillId="0" borderId="6" xfId="0" applyFont="1" applyBorder="1" applyAlignment="1">
      <alignment horizontal="center" vertical="top"/>
    </xf>
    <xf numFmtId="0" fontId="4" fillId="0" borderId="0" xfId="0" applyFont="1" applyAlignment="1">
      <alignment horizontal="right" vertical="top" wrapText="1"/>
    </xf>
    <xf numFmtId="0" fontId="30" fillId="0" borderId="0" xfId="0" applyFont="1" applyAlignment="1">
      <alignment vertical="center" wrapText="1"/>
    </xf>
    <xf numFmtId="0" fontId="30" fillId="0" borderId="0" xfId="0" applyFont="1" applyAlignment="1">
      <alignment vertical="center"/>
    </xf>
    <xf numFmtId="0" fontId="0" fillId="0" borderId="0" xfId="0" applyAlignment="1">
      <alignment vertical="center"/>
    </xf>
    <xf numFmtId="0" fontId="22" fillId="0" borderId="31" xfId="0" applyFont="1" applyBorder="1" applyAlignment="1">
      <alignment vertical="center"/>
    </xf>
    <xf numFmtId="0" fontId="0" fillId="0" borderId="33" xfId="0" applyBorder="1" applyAlignment="1">
      <alignment vertical="center"/>
    </xf>
    <xf numFmtId="0" fontId="22" fillId="0" borderId="34" xfId="0" applyFont="1" applyBorder="1" applyAlignment="1">
      <alignment vertical="center"/>
    </xf>
    <xf numFmtId="0" fontId="0" fillId="0" borderId="35" xfId="0" applyBorder="1" applyAlignment="1">
      <alignment vertical="center"/>
    </xf>
    <xf numFmtId="0" fontId="22" fillId="0" borderId="38" xfId="0" applyFont="1" applyBorder="1" applyAlignment="1">
      <alignment vertical="center"/>
    </xf>
    <xf numFmtId="0" fontId="0" fillId="0" borderId="39" xfId="0" applyBorder="1" applyAlignment="1">
      <alignment vertical="center"/>
    </xf>
    <xf numFmtId="0" fontId="31" fillId="12" borderId="15" xfId="5" applyFont="1" applyFill="1" applyBorder="1" applyAlignment="1">
      <alignment vertical="center" wrapText="1"/>
    </xf>
    <xf numFmtId="0" fontId="31" fillId="12" borderId="15" xfId="0" applyFont="1" applyFill="1" applyBorder="1" applyAlignment="1">
      <alignment vertical="center" wrapText="1"/>
    </xf>
    <xf numFmtId="0" fontId="31" fillId="12" borderId="7" xfId="0" applyFont="1" applyFill="1" applyBorder="1" applyAlignment="1">
      <alignment vertical="center" wrapText="1"/>
    </xf>
    <xf numFmtId="0" fontId="4" fillId="3" borderId="30" xfId="0" applyFont="1" applyFill="1" applyBorder="1" applyAlignment="1">
      <alignment vertical="top" wrapText="1"/>
    </xf>
    <xf numFmtId="49" fontId="36" fillId="0" borderId="46" xfId="5" applyNumberFormat="1" applyFont="1" applyBorder="1" applyAlignment="1">
      <alignment vertical="center" wrapText="1"/>
    </xf>
    <xf numFmtId="49" fontId="36" fillId="0" borderId="46" xfId="5" quotePrefix="1" applyNumberFormat="1" applyFont="1" applyBorder="1" applyAlignment="1">
      <alignment vertical="center" wrapText="1"/>
    </xf>
    <xf numFmtId="0" fontId="36" fillId="0" borderId="46" xfId="5" applyFont="1" applyBorder="1" applyAlignment="1">
      <alignment vertical="center" wrapText="1"/>
    </xf>
    <xf numFmtId="49" fontId="36" fillId="0" borderId="45" xfId="5" applyNumberFormat="1" applyFont="1" applyBorder="1" applyAlignment="1">
      <alignment horizontal="center" vertical="center" wrapText="1"/>
    </xf>
    <xf numFmtId="49" fontId="37" fillId="0" borderId="45" xfId="5" applyNumberFormat="1" applyFont="1" applyBorder="1" applyAlignment="1">
      <alignment horizontal="center" vertical="center" wrapText="1"/>
    </xf>
    <xf numFmtId="49" fontId="36" fillId="9" borderId="45" xfId="5" applyNumberFormat="1" applyFont="1" applyFill="1" applyBorder="1" applyAlignment="1">
      <alignment horizontal="center" vertical="center" wrapText="1"/>
    </xf>
    <xf numFmtId="0" fontId="22" fillId="0" borderId="0" xfId="0" applyFont="1" applyAlignment="1">
      <alignment horizontal="center" wrapText="1"/>
    </xf>
    <xf numFmtId="49" fontId="36" fillId="14" borderId="45" xfId="5" applyNumberFormat="1" applyFont="1" applyFill="1" applyBorder="1" applyAlignment="1">
      <alignment horizontal="center" vertical="center"/>
    </xf>
    <xf numFmtId="49" fontId="38" fillId="14" borderId="45" xfId="5" applyNumberFormat="1" applyFont="1" applyFill="1" applyBorder="1" applyAlignment="1">
      <alignment horizontal="center" vertical="center"/>
    </xf>
    <xf numFmtId="0" fontId="38" fillId="14" borderId="45" xfId="5" applyFont="1" applyFill="1" applyBorder="1" applyAlignment="1">
      <alignment horizontal="left" vertical="center"/>
    </xf>
    <xf numFmtId="0" fontId="36" fillId="14" borderId="45" xfId="5" applyFont="1" applyFill="1" applyBorder="1" applyAlignment="1">
      <alignment horizontal="left" vertical="center"/>
    </xf>
    <xf numFmtId="166" fontId="36" fillId="14" borderId="45" xfId="4" applyNumberFormat="1" applyFont="1" applyFill="1" applyBorder="1" applyAlignment="1">
      <alignment horizontal="right" vertical="center"/>
    </xf>
    <xf numFmtId="10" fontId="36" fillId="14" borderId="45" xfId="3" applyNumberFormat="1" applyFont="1" applyFill="1" applyBorder="1" applyAlignment="1">
      <alignment horizontal="right" vertical="center"/>
    </xf>
    <xf numFmtId="49" fontId="36" fillId="0" borderId="0" xfId="5" applyNumberFormat="1" applyFont="1" applyAlignment="1">
      <alignment horizontal="center" vertical="center"/>
    </xf>
    <xf numFmtId="0" fontId="36" fillId="15" borderId="45" xfId="5" applyFont="1" applyFill="1" applyBorder="1" applyAlignment="1">
      <alignment horizontal="center" vertical="center"/>
    </xf>
    <xf numFmtId="49" fontId="36" fillId="15" borderId="45" xfId="5" applyNumberFormat="1" applyFont="1" applyFill="1" applyBorder="1" applyAlignment="1">
      <alignment horizontal="center" vertical="center"/>
    </xf>
    <xf numFmtId="49" fontId="38" fillId="15" borderId="45" xfId="5" applyNumberFormat="1" applyFont="1" applyFill="1" applyBorder="1" applyAlignment="1">
      <alignment horizontal="center" vertical="center"/>
    </xf>
    <xf numFmtId="0" fontId="36" fillId="15" borderId="45" xfId="5" applyFont="1" applyFill="1" applyBorder="1" applyAlignment="1">
      <alignment horizontal="left" vertical="center"/>
    </xf>
    <xf numFmtId="166" fontId="36" fillId="15" borderId="45" xfId="4" applyNumberFormat="1" applyFont="1" applyFill="1" applyBorder="1" applyAlignment="1">
      <alignment horizontal="right" vertical="center"/>
    </xf>
    <xf numFmtId="10" fontId="36" fillId="15" borderId="45" xfId="3" applyNumberFormat="1" applyFont="1" applyFill="1" applyBorder="1" applyAlignment="1">
      <alignment horizontal="right" vertical="center"/>
    </xf>
    <xf numFmtId="0" fontId="36" fillId="16" borderId="45" xfId="5" applyFont="1" applyFill="1" applyBorder="1" applyAlignment="1">
      <alignment horizontal="center" vertical="center"/>
    </xf>
    <xf numFmtId="49" fontId="36" fillId="16" borderId="45" xfId="5" applyNumberFormat="1" applyFont="1" applyFill="1" applyBorder="1" applyAlignment="1">
      <alignment horizontal="center" vertical="center"/>
    </xf>
    <xf numFmtId="49" fontId="38" fillId="16" borderId="45" xfId="5" applyNumberFormat="1" applyFont="1" applyFill="1" applyBorder="1" applyAlignment="1">
      <alignment horizontal="center" vertical="center"/>
    </xf>
    <xf numFmtId="0" fontId="36" fillId="16" borderId="45" xfId="5" applyFont="1" applyFill="1" applyBorder="1" applyAlignment="1">
      <alignment horizontal="left" vertical="center"/>
    </xf>
    <xf numFmtId="166" fontId="36" fillId="16" borderId="45" xfId="4" applyNumberFormat="1" applyFont="1" applyFill="1" applyBorder="1" applyAlignment="1">
      <alignment horizontal="right" vertical="center"/>
    </xf>
    <xf numFmtId="10" fontId="36" fillId="16" borderId="45" xfId="3" applyNumberFormat="1" applyFont="1" applyFill="1" applyBorder="1" applyAlignment="1">
      <alignment horizontal="right" vertical="center"/>
    </xf>
    <xf numFmtId="0" fontId="36" fillId="17" borderId="45" xfId="5" applyFont="1" applyFill="1" applyBorder="1" applyAlignment="1">
      <alignment horizontal="center" vertical="center"/>
    </xf>
    <xf numFmtId="49" fontId="36" fillId="17" borderId="45" xfId="5" applyNumberFormat="1" applyFont="1" applyFill="1" applyBorder="1" applyAlignment="1">
      <alignment horizontal="center" vertical="center"/>
    </xf>
    <xf numFmtId="49" fontId="38" fillId="17" borderId="45" xfId="5" applyNumberFormat="1" applyFont="1" applyFill="1" applyBorder="1" applyAlignment="1">
      <alignment horizontal="center" vertical="center"/>
    </xf>
    <xf numFmtId="0" fontId="36" fillId="17" borderId="45" xfId="5" applyFont="1" applyFill="1" applyBorder="1" applyAlignment="1">
      <alignment horizontal="left" vertical="center"/>
    </xf>
    <xf numFmtId="166" fontId="36" fillId="17" borderId="45" xfId="4" applyNumberFormat="1" applyFont="1" applyFill="1" applyBorder="1" applyAlignment="1">
      <alignment horizontal="right" vertical="center"/>
    </xf>
    <xf numFmtId="10" fontId="36" fillId="17" borderId="45" xfId="3" applyNumberFormat="1" applyFont="1" applyFill="1" applyBorder="1" applyAlignment="1">
      <alignment horizontal="right" vertical="center"/>
    </xf>
    <xf numFmtId="49" fontId="36" fillId="0" borderId="45" xfId="5" applyNumberFormat="1" applyFont="1" applyBorder="1" applyAlignment="1">
      <alignment horizontal="center" vertical="center"/>
    </xf>
    <xf numFmtId="49" fontId="38" fillId="0" borderId="45" xfId="5" applyNumberFormat="1" applyFont="1" applyBorder="1" applyAlignment="1">
      <alignment horizontal="center" vertical="center"/>
    </xf>
    <xf numFmtId="0" fontId="36" fillId="0" borderId="45" xfId="5" applyFont="1" applyBorder="1" applyAlignment="1">
      <alignment horizontal="left" vertical="center"/>
    </xf>
    <xf numFmtId="166" fontId="36" fillId="0" borderId="45" xfId="4" applyNumberFormat="1" applyFont="1" applyBorder="1" applyAlignment="1">
      <alignment horizontal="right" vertical="center"/>
    </xf>
    <xf numFmtId="10" fontId="36" fillId="0" borderId="45" xfId="3" applyNumberFormat="1" applyFont="1" applyBorder="1" applyAlignment="1">
      <alignment horizontal="right" vertical="center"/>
    </xf>
    <xf numFmtId="0" fontId="36" fillId="0" borderId="45" xfId="5" applyFont="1" applyBorder="1" applyAlignment="1">
      <alignment horizontal="center" vertical="center"/>
    </xf>
    <xf numFmtId="0" fontId="38" fillId="0" borderId="45" xfId="5" applyFont="1" applyBorder="1" applyAlignment="1">
      <alignment horizontal="left" vertical="center"/>
    </xf>
    <xf numFmtId="166" fontId="38" fillId="0" borderId="45" xfId="4" applyNumberFormat="1" applyFont="1" applyBorder="1" applyAlignment="1">
      <alignment horizontal="right" vertical="center"/>
    </xf>
    <xf numFmtId="10" fontId="38" fillId="0" borderId="45" xfId="3" applyNumberFormat="1" applyFont="1" applyBorder="1" applyAlignment="1">
      <alignment horizontal="right" vertical="center"/>
    </xf>
    <xf numFmtId="0" fontId="38" fillId="0" borderId="45" xfId="5" applyFont="1" applyBorder="1" applyAlignment="1">
      <alignment horizontal="center" vertical="center"/>
    </xf>
    <xf numFmtId="166" fontId="36" fillId="0" borderId="45" xfId="4" applyNumberFormat="1" applyFont="1" applyFill="1" applyBorder="1" applyAlignment="1">
      <alignment horizontal="right" vertical="center"/>
    </xf>
    <xf numFmtId="10" fontId="36" fillId="0" borderId="45" xfId="3" applyNumberFormat="1" applyFont="1" applyFill="1" applyBorder="1" applyAlignment="1">
      <alignment horizontal="right" vertical="center"/>
    </xf>
    <xf numFmtId="166" fontId="38" fillId="0" borderId="45" xfId="4" applyNumberFormat="1" applyFont="1" applyFill="1" applyBorder="1" applyAlignment="1">
      <alignment horizontal="right" vertical="center"/>
    </xf>
    <xf numFmtId="10" fontId="38" fillId="0" borderId="45" xfId="3" applyNumberFormat="1" applyFont="1" applyFill="1" applyBorder="1" applyAlignment="1">
      <alignment horizontal="right" vertical="center"/>
    </xf>
    <xf numFmtId="49" fontId="38" fillId="0" borderId="0" xfId="5" applyNumberFormat="1" applyFont="1" applyAlignment="1">
      <alignment horizontal="center" vertical="center"/>
    </xf>
    <xf numFmtId="43" fontId="36" fillId="17" borderId="45" xfId="4" applyFont="1" applyFill="1" applyBorder="1" applyAlignment="1">
      <alignment horizontal="right" vertical="center"/>
    </xf>
    <xf numFmtId="43" fontId="36" fillId="0" borderId="45" xfId="4" applyFont="1" applyFill="1" applyBorder="1" applyAlignment="1">
      <alignment horizontal="right" vertical="center"/>
    </xf>
    <xf numFmtId="43" fontId="38" fillId="0" borderId="45" xfId="4" applyFont="1" applyFill="1" applyBorder="1" applyAlignment="1">
      <alignment horizontal="right" vertical="center"/>
    </xf>
    <xf numFmtId="43" fontId="36" fillId="0" borderId="45" xfId="4" applyFont="1" applyBorder="1" applyAlignment="1">
      <alignment horizontal="right" vertical="center"/>
    </xf>
    <xf numFmtId="43" fontId="38" fillId="0" borderId="45" xfId="4" applyFont="1" applyBorder="1" applyAlignment="1">
      <alignment horizontal="right" vertical="center"/>
    </xf>
    <xf numFmtId="43" fontId="36" fillId="16" borderId="45" xfId="4" applyFont="1" applyFill="1" applyBorder="1" applyAlignment="1">
      <alignment horizontal="right" vertical="center"/>
    </xf>
    <xf numFmtId="43" fontId="36" fillId="0" borderId="45" xfId="4" applyFont="1" applyBorder="1" applyAlignment="1">
      <alignment horizontal="left" vertical="center"/>
    </xf>
    <xf numFmtId="10" fontId="36" fillId="0" borderId="45" xfId="3" applyNumberFormat="1" applyFont="1" applyBorder="1" applyAlignment="1">
      <alignment horizontal="left" vertical="center"/>
    </xf>
    <xf numFmtId="43" fontId="38" fillId="0" borderId="45" xfId="4" applyFont="1" applyBorder="1" applyAlignment="1">
      <alignment horizontal="left" vertical="center"/>
    </xf>
    <xf numFmtId="10" fontId="38" fillId="0" borderId="45" xfId="3" applyNumberFormat="1" applyFont="1" applyBorder="1" applyAlignment="1">
      <alignment horizontal="left" vertical="center"/>
    </xf>
    <xf numFmtId="43" fontId="36" fillId="17" borderId="45" xfId="4" applyFont="1" applyFill="1" applyBorder="1" applyAlignment="1">
      <alignment horizontal="left" vertical="center"/>
    </xf>
    <xf numFmtId="10" fontId="36" fillId="17" borderId="45" xfId="3" applyNumberFormat="1" applyFont="1" applyFill="1" applyBorder="1" applyAlignment="1">
      <alignment horizontal="left" vertical="center"/>
    </xf>
    <xf numFmtId="49" fontId="36" fillId="16" borderId="45" xfId="5" applyNumberFormat="1" applyFont="1" applyFill="1" applyBorder="1" applyAlignment="1">
      <alignment horizontal="left" vertical="center"/>
    </xf>
    <xf numFmtId="43" fontId="36" fillId="16" borderId="45" xfId="4" applyFont="1" applyFill="1" applyBorder="1" applyAlignment="1">
      <alignment horizontal="center" vertical="center"/>
    </xf>
    <xf numFmtId="10" fontId="36" fillId="16" borderId="45" xfId="3" applyNumberFormat="1" applyFont="1" applyFill="1" applyBorder="1" applyAlignment="1">
      <alignment horizontal="center" vertical="center"/>
    </xf>
    <xf numFmtId="43" fontId="38" fillId="0" borderId="45" xfId="4" applyFont="1" applyFill="1" applyBorder="1" applyAlignment="1">
      <alignment horizontal="left" vertical="center"/>
    </xf>
    <xf numFmtId="10" fontId="38" fillId="0" borderId="45" xfId="3" applyNumberFormat="1" applyFont="1" applyFill="1" applyBorder="1" applyAlignment="1">
      <alignment horizontal="left" vertical="center"/>
    </xf>
    <xf numFmtId="43" fontId="36" fillId="0" borderId="45" xfId="4" applyFont="1" applyFill="1" applyBorder="1" applyAlignment="1">
      <alignment horizontal="left" vertical="center"/>
    </xf>
    <xf numFmtId="10" fontId="36" fillId="0" borderId="45" xfId="3" applyNumberFormat="1" applyFont="1" applyFill="1" applyBorder="1" applyAlignment="1">
      <alignment horizontal="left" vertical="center"/>
    </xf>
    <xf numFmtId="43" fontId="36" fillId="16" borderId="45" xfId="4" applyFont="1" applyFill="1" applyBorder="1" applyAlignment="1">
      <alignment horizontal="left" vertical="center"/>
    </xf>
    <xf numFmtId="10" fontId="36" fillId="16" borderId="45" xfId="3" applyNumberFormat="1" applyFont="1" applyFill="1" applyBorder="1" applyAlignment="1">
      <alignment horizontal="left" vertical="center"/>
    </xf>
    <xf numFmtId="0" fontId="39" fillId="0" borderId="0" xfId="0" applyFont="1" applyAlignment="1">
      <alignment horizontal="left" vertical="center"/>
    </xf>
    <xf numFmtId="0" fontId="33" fillId="13" borderId="12" xfId="5" applyFont="1" applyFill="1" applyBorder="1" applyAlignment="1">
      <alignment horizontal="center" vertical="center" wrapText="1"/>
    </xf>
    <xf numFmtId="49" fontId="40" fillId="0" borderId="42" xfId="5" quotePrefix="1" applyNumberFormat="1" applyFont="1" applyBorder="1" applyAlignment="1">
      <alignment horizontal="left" vertical="center" wrapText="1"/>
    </xf>
    <xf numFmtId="0" fontId="41" fillId="0" borderId="42" xfId="0" quotePrefix="1" applyFont="1" applyBorder="1" applyAlignment="1">
      <alignment horizontal="left" vertical="center" wrapText="1"/>
    </xf>
    <xf numFmtId="49" fontId="40" fillId="0" borderId="45" xfId="5" applyNumberFormat="1" applyFont="1" applyBorder="1" applyAlignment="1">
      <alignment horizontal="left" vertical="center" wrapText="1"/>
    </xf>
    <xf numFmtId="0" fontId="41" fillId="0" borderId="42" xfId="0" applyFont="1" applyBorder="1" applyAlignment="1">
      <alignment vertical="center" wrapText="1"/>
    </xf>
    <xf numFmtId="49" fontId="33" fillId="0" borderId="45" xfId="5" applyNumberFormat="1" applyFont="1" applyBorder="1" applyAlignment="1">
      <alignment horizontal="left" vertical="center" wrapText="1"/>
    </xf>
    <xf numFmtId="49" fontId="40" fillId="9" borderId="45" xfId="5" applyNumberFormat="1" applyFont="1" applyFill="1" applyBorder="1" applyAlignment="1">
      <alignment horizontal="left" vertical="center" wrapText="1"/>
    </xf>
    <xf numFmtId="49" fontId="40" fillId="9" borderId="46" xfId="5" applyNumberFormat="1" applyFont="1" applyFill="1" applyBorder="1" applyAlignment="1">
      <alignment horizontal="left" vertical="center" wrapText="1"/>
    </xf>
    <xf numFmtId="49" fontId="40" fillId="0" borderId="46" xfId="5" applyNumberFormat="1" applyFont="1" applyBorder="1" applyAlignment="1">
      <alignment horizontal="left" vertical="center" wrapText="1"/>
    </xf>
    <xf numFmtId="49" fontId="39" fillId="0" borderId="45" xfId="5" quotePrefix="1" applyNumberFormat="1" applyFont="1" applyBorder="1" applyAlignment="1">
      <alignment horizontal="left" vertical="center" wrapText="1"/>
    </xf>
    <xf numFmtId="0" fontId="39" fillId="0" borderId="0" xfId="0" applyFont="1"/>
    <xf numFmtId="0" fontId="30" fillId="0" borderId="16" xfId="2" applyFont="1" applyBorder="1" applyAlignment="1" applyProtection="1">
      <alignment horizontal="left" vertical="top"/>
    </xf>
    <xf numFmtId="9" fontId="4" fillId="3" borderId="7" xfId="0" applyNumberFormat="1" applyFont="1" applyFill="1" applyBorder="1" applyAlignment="1" applyProtection="1">
      <alignment vertical="top"/>
      <protection locked="0"/>
    </xf>
    <xf numFmtId="167" fontId="4" fillId="6" borderId="8" xfId="0" applyNumberFormat="1" applyFont="1" applyFill="1" applyBorder="1" applyAlignment="1">
      <alignment horizontal="center" vertical="top"/>
    </xf>
    <xf numFmtId="10" fontId="4" fillId="4" borderId="8" xfId="0" applyNumberFormat="1" applyFont="1" applyFill="1" applyBorder="1" applyAlignment="1">
      <alignment horizontal="center" vertical="top"/>
    </xf>
    <xf numFmtId="10" fontId="25" fillId="6" borderId="8" xfId="0" applyNumberFormat="1" applyFont="1" applyFill="1" applyBorder="1" applyAlignment="1">
      <alignment horizontal="center" vertical="top"/>
    </xf>
    <xf numFmtId="0" fontId="4" fillId="18" borderId="8" xfId="0" applyFont="1" applyFill="1" applyBorder="1" applyAlignment="1">
      <alignment vertical="top" wrapText="1"/>
    </xf>
    <xf numFmtId="0" fontId="38" fillId="18" borderId="45" xfId="5" applyFont="1" applyFill="1" applyBorder="1" applyAlignment="1">
      <alignment horizontal="center" vertical="center"/>
    </xf>
    <xf numFmtId="49" fontId="38" fillId="18" borderId="45" xfId="5" applyNumberFormat="1" applyFont="1" applyFill="1" applyBorder="1" applyAlignment="1">
      <alignment horizontal="center" vertical="center"/>
    </xf>
    <xf numFmtId="49" fontId="36" fillId="18" borderId="45" xfId="5" applyNumberFormat="1" applyFont="1" applyFill="1" applyBorder="1" applyAlignment="1">
      <alignment horizontal="center" vertical="center"/>
    </xf>
    <xf numFmtId="0" fontId="36" fillId="18" borderId="45" xfId="5" applyFont="1" applyFill="1" applyBorder="1" applyAlignment="1">
      <alignment horizontal="left" vertical="center"/>
    </xf>
    <xf numFmtId="43" fontId="38" fillId="18" borderId="45" xfId="4" applyFont="1" applyFill="1" applyBorder="1" applyAlignment="1">
      <alignment horizontal="right" vertical="center"/>
    </xf>
    <xf numFmtId="10" fontId="38" fillId="18" borderId="45" xfId="3" applyNumberFormat="1" applyFont="1" applyFill="1" applyBorder="1" applyAlignment="1">
      <alignment horizontal="right" vertical="center"/>
    </xf>
    <xf numFmtId="49" fontId="36" fillId="18" borderId="0" xfId="5" applyNumberFormat="1" applyFont="1" applyFill="1" applyAlignment="1">
      <alignment horizontal="center" vertical="center"/>
    </xf>
    <xf numFmtId="0" fontId="0" fillId="18" borderId="0" xfId="0" applyFill="1"/>
    <xf numFmtId="0" fontId="36" fillId="18" borderId="45" xfId="5" applyFont="1" applyFill="1" applyBorder="1" applyAlignment="1">
      <alignment horizontal="center" vertical="center"/>
    </xf>
    <xf numFmtId="43" fontId="36" fillId="18" borderId="45" xfId="4" applyFont="1" applyFill="1" applyBorder="1" applyAlignment="1">
      <alignment horizontal="right" vertical="center"/>
    </xf>
    <xf numFmtId="10" fontId="36" fillId="18" borderId="45" xfId="3" applyNumberFormat="1" applyFont="1" applyFill="1" applyBorder="1" applyAlignment="1">
      <alignment horizontal="right" vertical="center"/>
    </xf>
    <xf numFmtId="0" fontId="22" fillId="18" borderId="0" xfId="0" applyFont="1" applyFill="1"/>
    <xf numFmtId="0" fontId="36" fillId="9" borderId="45" xfId="5" applyFont="1" applyFill="1" applyBorder="1" applyAlignment="1">
      <alignment horizontal="left" vertical="center"/>
    </xf>
    <xf numFmtId="0" fontId="38" fillId="9" borderId="45" xfId="5" applyFont="1" applyFill="1" applyBorder="1" applyAlignment="1">
      <alignment horizontal="left" vertical="center"/>
    </xf>
    <xf numFmtId="0" fontId="14" fillId="0" borderId="16" xfId="0" applyFont="1" applyBorder="1" applyAlignment="1">
      <alignment horizontal="left" vertical="center"/>
    </xf>
    <xf numFmtId="0" fontId="24" fillId="0" borderId="16" xfId="2" applyFont="1" applyBorder="1" applyAlignment="1" applyProtection="1">
      <alignment horizontal="left" vertical="center" wrapText="1"/>
    </xf>
    <xf numFmtId="0" fontId="0" fillId="6" borderId="16" xfId="3" applyNumberFormat="1" applyFont="1" applyFill="1" applyBorder="1" applyAlignment="1" applyProtection="1">
      <alignment horizontal="left" vertical="center"/>
    </xf>
    <xf numFmtId="0" fontId="7" fillId="6" borderId="16" xfId="3" applyNumberFormat="1" applyFont="1" applyFill="1" applyBorder="1" applyAlignment="1" applyProtection="1">
      <alignment horizontal="left" vertical="center" wrapText="1"/>
      <protection hidden="1"/>
    </xf>
    <xf numFmtId="0" fontId="7" fillId="6" borderId="18" xfId="3" applyNumberFormat="1" applyFont="1" applyFill="1" applyBorder="1" applyAlignment="1" applyProtection="1">
      <alignment horizontal="left" vertical="center" wrapText="1"/>
      <protection hidden="1"/>
    </xf>
    <xf numFmtId="0" fontId="7" fillId="6" borderId="19" xfId="3" applyNumberFormat="1" applyFont="1" applyFill="1" applyBorder="1" applyAlignment="1" applyProtection="1">
      <alignment horizontal="left" vertical="center"/>
    </xf>
    <xf numFmtId="0" fontId="7" fillId="6" borderId="20" xfId="3" applyNumberFormat="1" applyFont="1" applyFill="1" applyBorder="1" applyAlignment="1" applyProtection="1">
      <alignment horizontal="left" vertical="center"/>
      <protection locked="0"/>
    </xf>
    <xf numFmtId="9" fontId="0" fillId="6" borderId="16" xfId="3" applyFont="1" applyFill="1" applyBorder="1" applyAlignment="1" applyProtection="1">
      <alignment horizontal="center" vertical="center"/>
      <protection hidden="1"/>
    </xf>
    <xf numFmtId="9" fontId="0" fillId="6" borderId="16" xfId="3" applyFont="1" applyFill="1" applyBorder="1" applyAlignment="1" applyProtection="1">
      <alignment horizontal="center" vertical="center" wrapText="1"/>
      <protection hidden="1"/>
    </xf>
    <xf numFmtId="9" fontId="4" fillId="3" borderId="16" xfId="3" applyFont="1" applyFill="1" applyBorder="1" applyAlignment="1">
      <alignment horizontal="right" vertical="top"/>
    </xf>
    <xf numFmtId="0" fontId="17" fillId="0" borderId="16" xfId="2" applyBorder="1" applyAlignment="1" applyProtection="1">
      <alignment horizontal="left" vertical="center" wrapText="1"/>
    </xf>
    <xf numFmtId="0" fontId="30" fillId="0" borderId="14" xfId="0" applyFont="1" applyBorder="1" applyAlignment="1">
      <alignment vertical="center" wrapText="1"/>
    </xf>
    <xf numFmtId="0" fontId="30" fillId="0" borderId="15" xfId="0" applyFont="1" applyBorder="1" applyAlignment="1">
      <alignment vertical="center" wrapText="1"/>
    </xf>
    <xf numFmtId="0" fontId="30" fillId="0" borderId="7" xfId="0" applyFont="1" applyBorder="1" applyAlignment="1">
      <alignment vertical="center" wrapText="1"/>
    </xf>
    <xf numFmtId="0" fontId="31" fillId="19" borderId="15" xfId="5" applyFont="1" applyFill="1" applyBorder="1" applyAlignment="1">
      <alignment horizontal="left" vertical="center" wrapText="1"/>
    </xf>
    <xf numFmtId="0" fontId="31" fillId="19" borderId="15" xfId="5" applyFont="1" applyFill="1" applyBorder="1" applyAlignment="1">
      <alignment vertical="center" wrapText="1"/>
    </xf>
    <xf numFmtId="0" fontId="31" fillId="19" borderId="15" xfId="0" applyFont="1" applyFill="1" applyBorder="1" applyAlignment="1">
      <alignment vertical="center" wrapText="1"/>
    </xf>
    <xf numFmtId="0" fontId="31" fillId="19" borderId="7" xfId="0" applyFont="1" applyFill="1" applyBorder="1" applyAlignment="1">
      <alignment vertical="center" wrapText="1"/>
    </xf>
    <xf numFmtId="0" fontId="30" fillId="0" borderId="0" xfId="0" applyFont="1" applyAlignment="1">
      <alignment horizontal="center" vertical="center" wrapText="1"/>
    </xf>
    <xf numFmtId="0" fontId="33" fillId="21" borderId="48" xfId="0" applyFont="1" applyFill="1" applyBorder="1" applyAlignment="1">
      <alignment horizontal="center" vertical="center" wrapText="1"/>
    </xf>
    <xf numFmtId="0" fontId="33" fillId="21" borderId="49" xfId="0" applyFont="1" applyFill="1" applyBorder="1" applyAlignment="1">
      <alignment horizontal="center" vertical="center" wrapText="1"/>
    </xf>
    <xf numFmtId="0" fontId="33" fillId="25" borderId="62" xfId="0" applyFont="1" applyFill="1" applyBorder="1" applyAlignment="1">
      <alignment horizontal="center" vertical="center" wrapText="1"/>
    </xf>
    <xf numFmtId="0" fontId="33" fillId="24" borderId="48" xfId="0" applyFont="1" applyFill="1" applyBorder="1" applyAlignment="1">
      <alignment horizontal="center" vertical="center" wrapText="1"/>
    </xf>
    <xf numFmtId="0" fontId="33" fillId="25" borderId="48" xfId="0" applyFont="1" applyFill="1" applyBorder="1" applyAlignment="1">
      <alignment horizontal="center" vertical="center" wrapText="1"/>
    </xf>
    <xf numFmtId="0" fontId="33" fillId="26" borderId="48" xfId="0" applyFont="1" applyFill="1" applyBorder="1" applyAlignment="1">
      <alignment horizontal="center" vertical="center" wrapText="1"/>
    </xf>
    <xf numFmtId="0" fontId="33" fillId="26" borderId="48" xfId="11" applyNumberFormat="1" applyFont="1" applyFill="1" applyBorder="1" applyAlignment="1">
      <alignment horizontal="center" vertical="center" wrapText="1"/>
    </xf>
    <xf numFmtId="0" fontId="33" fillId="26" borderId="49" xfId="11" applyNumberFormat="1" applyFont="1" applyFill="1" applyBorder="1" applyAlignment="1">
      <alignment horizontal="center" vertical="center" wrapText="1"/>
    </xf>
    <xf numFmtId="0" fontId="33" fillId="28" borderId="16" xfId="0" applyFont="1" applyFill="1" applyBorder="1" applyAlignment="1">
      <alignment horizontal="center" vertical="center" wrapText="1"/>
    </xf>
    <xf numFmtId="0" fontId="33" fillId="31" borderId="48" xfId="0" applyFont="1" applyFill="1" applyBorder="1" applyAlignment="1">
      <alignment vertical="center" wrapText="1"/>
    </xf>
    <xf numFmtId="3" fontId="30" fillId="31" borderId="48" xfId="0" applyNumberFormat="1" applyFont="1" applyFill="1" applyBorder="1" applyAlignment="1">
      <alignment vertical="center" wrapText="1"/>
    </xf>
    <xf numFmtId="1" fontId="30" fillId="31" borderId="48" xfId="0" applyNumberFormat="1" applyFont="1" applyFill="1" applyBorder="1" applyAlignment="1">
      <alignment horizontal="center" vertical="center" wrapText="1"/>
    </xf>
    <xf numFmtId="1" fontId="33" fillId="31" borderId="48" xfId="0" applyNumberFormat="1" applyFont="1" applyFill="1" applyBorder="1" applyAlignment="1">
      <alignment horizontal="center" vertical="center" wrapText="1"/>
    </xf>
    <xf numFmtId="0" fontId="33" fillId="31" borderId="48" xfId="3" applyNumberFormat="1" applyFont="1" applyFill="1" applyBorder="1" applyAlignment="1">
      <alignment horizontal="center" vertical="center" wrapText="1"/>
    </xf>
    <xf numFmtId="0" fontId="30" fillId="31" borderId="48" xfId="0" applyFont="1" applyFill="1" applyBorder="1" applyAlignment="1">
      <alignment vertical="center" wrapText="1"/>
    </xf>
    <xf numFmtId="3" fontId="30" fillId="31" borderId="48" xfId="0" applyNumberFormat="1" applyFont="1" applyFill="1" applyBorder="1" applyAlignment="1">
      <alignment horizontal="center" vertical="center" wrapText="1"/>
    </xf>
    <xf numFmtId="0" fontId="33" fillId="31" borderId="48" xfId="0" applyFont="1" applyFill="1" applyBorder="1" applyAlignment="1">
      <alignment horizontal="center" vertical="center" wrapText="1"/>
    </xf>
    <xf numFmtId="9" fontId="33" fillId="31" borderId="48" xfId="0" applyNumberFormat="1" applyFont="1" applyFill="1" applyBorder="1" applyAlignment="1">
      <alignment horizontal="center" vertical="center" wrapText="1"/>
    </xf>
    <xf numFmtId="3" fontId="33" fillId="31" borderId="48" xfId="0" applyNumberFormat="1" applyFont="1" applyFill="1" applyBorder="1" applyAlignment="1">
      <alignment horizontal="center" vertical="center" wrapText="1"/>
    </xf>
    <xf numFmtId="3" fontId="33" fillId="31" borderId="48" xfId="0" applyNumberFormat="1" applyFont="1" applyFill="1" applyBorder="1" applyAlignment="1">
      <alignment vertical="center" wrapText="1"/>
    </xf>
    <xf numFmtId="10" fontId="33" fillId="31" borderId="48" xfId="0" applyNumberFormat="1" applyFont="1" applyFill="1" applyBorder="1" applyAlignment="1">
      <alignment horizontal="center" vertical="center" wrapText="1"/>
    </xf>
    <xf numFmtId="0" fontId="33" fillId="21" borderId="48" xfId="0" applyFont="1" applyFill="1" applyBorder="1" applyAlignment="1">
      <alignment vertical="center" wrapText="1"/>
    </xf>
    <xf numFmtId="3" fontId="33" fillId="21" borderId="48" xfId="0" applyNumberFormat="1" applyFont="1" applyFill="1" applyBorder="1" applyAlignment="1">
      <alignment vertical="center" wrapText="1"/>
    </xf>
    <xf numFmtId="1" fontId="33" fillId="21" borderId="48" xfId="0" applyNumberFormat="1" applyFont="1" applyFill="1" applyBorder="1" applyAlignment="1">
      <alignment horizontal="center" vertical="center" wrapText="1"/>
    </xf>
    <xf numFmtId="9" fontId="33" fillId="21" borderId="48"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10" fontId="33" fillId="21" borderId="48" xfId="0" applyNumberFormat="1" applyFont="1" applyFill="1" applyBorder="1" applyAlignment="1">
      <alignment horizontal="center" vertical="center" wrapText="1"/>
    </xf>
    <xf numFmtId="0" fontId="30" fillId="0" borderId="48" xfId="0" applyFont="1" applyBorder="1" applyAlignment="1">
      <alignment horizontal="left" vertical="center" wrapText="1"/>
    </xf>
    <xf numFmtId="0" fontId="30" fillId="0" borderId="48" xfId="0" applyFont="1" applyBorder="1" applyAlignment="1">
      <alignment horizontal="center" vertical="center" wrapText="1"/>
    </xf>
    <xf numFmtId="1" fontId="30" fillId="0" borderId="48" xfId="0" applyNumberFormat="1" applyFont="1" applyBorder="1" applyAlignment="1">
      <alignment horizontal="center" vertical="center" wrapText="1"/>
    </xf>
    <xf numFmtId="1" fontId="33" fillId="0" borderId="48" xfId="0" applyNumberFormat="1" applyFont="1" applyBorder="1" applyAlignment="1">
      <alignment horizontal="center" vertical="center" wrapText="1"/>
    </xf>
    <xf numFmtId="9" fontId="30" fillId="0" borderId="48" xfId="3" applyFont="1" applyBorder="1" applyAlignment="1">
      <alignment horizontal="center" vertical="center" wrapText="1"/>
    </xf>
    <xf numFmtId="3" fontId="30" fillId="0" borderId="48" xfId="0" applyNumberFormat="1" applyFont="1" applyBorder="1" applyAlignment="1">
      <alignment horizontal="center" vertical="center" wrapText="1"/>
    </xf>
    <xf numFmtId="167" fontId="30" fillId="0" borderId="48" xfId="0" applyNumberFormat="1" applyFont="1" applyBorder="1" applyAlignment="1">
      <alignment horizontal="center" vertical="center" wrapText="1"/>
    </xf>
    <xf numFmtId="9" fontId="30" fillId="0" borderId="48" xfId="0" applyNumberFormat="1" applyFont="1" applyBorder="1" applyAlignment="1">
      <alignment horizontal="center" vertical="center"/>
    </xf>
    <xf numFmtId="9" fontId="30" fillId="0" borderId="48" xfId="0" applyNumberFormat="1" applyFont="1" applyBorder="1" applyAlignment="1">
      <alignment horizontal="center" vertical="center" wrapText="1"/>
    </xf>
    <xf numFmtId="3" fontId="33" fillId="0" borderId="48" xfId="0" applyNumberFormat="1" applyFont="1" applyBorder="1" applyAlignment="1">
      <alignment vertical="center" wrapText="1"/>
    </xf>
    <xf numFmtId="10" fontId="30" fillId="0" borderId="48" xfId="0" applyNumberFormat="1" applyFont="1" applyBorder="1" applyAlignment="1">
      <alignment horizontal="center" vertical="center" wrapText="1"/>
    </xf>
    <xf numFmtId="0" fontId="30" fillId="0" borderId="48" xfId="0" applyFont="1" applyBorder="1" applyAlignment="1">
      <alignment vertical="center" wrapText="1"/>
    </xf>
    <xf numFmtId="168" fontId="33" fillId="0" borderId="48" xfId="0" applyNumberFormat="1" applyFont="1" applyBorder="1" applyAlignment="1">
      <alignment vertical="center" wrapText="1"/>
    </xf>
    <xf numFmtId="3" fontId="30" fillId="0" borderId="48" xfId="0" applyNumberFormat="1" applyFont="1" applyBorder="1" applyAlignment="1">
      <alignment vertical="center" wrapText="1"/>
    </xf>
    <xf numFmtId="9" fontId="33" fillId="0" borderId="48" xfId="0" applyNumberFormat="1" applyFont="1" applyBorder="1" applyAlignment="1">
      <alignment horizontal="center" vertical="center" wrapText="1"/>
    </xf>
    <xf numFmtId="0" fontId="32" fillId="0" borderId="48" xfId="0" applyFont="1" applyBorder="1" applyAlignment="1">
      <alignment horizontal="center" vertical="center" wrapText="1"/>
    </xf>
    <xf numFmtId="0" fontId="33" fillId="34" borderId="48" xfId="0" applyFont="1" applyFill="1" applyBorder="1" applyAlignment="1">
      <alignment vertical="center" wrapText="1"/>
    </xf>
    <xf numFmtId="3" fontId="33" fillId="34" borderId="48" xfId="0" applyNumberFormat="1" applyFont="1" applyFill="1" applyBorder="1" applyAlignment="1">
      <alignment vertical="center" wrapText="1"/>
    </xf>
    <xf numFmtId="1" fontId="33" fillId="34" borderId="48" xfId="0" applyNumberFormat="1" applyFont="1" applyFill="1" applyBorder="1" applyAlignment="1">
      <alignment horizontal="center" vertical="center" wrapText="1"/>
    </xf>
    <xf numFmtId="9" fontId="33" fillId="34" borderId="48" xfId="0" applyNumberFormat="1" applyFont="1" applyFill="1" applyBorder="1" applyAlignment="1">
      <alignment horizontal="center" vertical="center" wrapText="1"/>
    </xf>
    <xf numFmtId="3" fontId="33" fillId="34" borderId="48" xfId="0" applyNumberFormat="1" applyFont="1" applyFill="1" applyBorder="1" applyAlignment="1">
      <alignment horizontal="center" vertical="center" wrapText="1"/>
    </xf>
    <xf numFmtId="10" fontId="33" fillId="34" borderId="48" xfId="0" applyNumberFormat="1" applyFont="1" applyFill="1" applyBorder="1" applyAlignment="1">
      <alignment horizontal="center" vertical="center" wrapText="1"/>
    </xf>
    <xf numFmtId="167" fontId="30" fillId="0" borderId="48" xfId="3" applyNumberFormat="1" applyFont="1" applyFill="1" applyBorder="1" applyAlignment="1">
      <alignment horizontal="center" vertical="center" wrapText="1"/>
    </xf>
    <xf numFmtId="9" fontId="30" fillId="0" borderId="48" xfId="3" applyFont="1" applyFill="1" applyBorder="1" applyAlignment="1">
      <alignment horizontal="center" vertical="center" wrapText="1"/>
    </xf>
    <xf numFmtId="9" fontId="33" fillId="0" borderId="48" xfId="3" applyFont="1" applyFill="1" applyBorder="1" applyAlignment="1">
      <alignment horizontal="center" vertical="center" wrapText="1"/>
    </xf>
    <xf numFmtId="9" fontId="33" fillId="21" borderId="48" xfId="3" applyFont="1" applyFill="1" applyBorder="1" applyAlignment="1">
      <alignment horizontal="center" vertical="center" wrapText="1"/>
    </xf>
    <xf numFmtId="0" fontId="33" fillId="0" borderId="48" xfId="0" applyFont="1" applyBorder="1" applyAlignment="1">
      <alignment horizontal="center" vertical="center" wrapText="1"/>
    </xf>
    <xf numFmtId="164" fontId="33" fillId="0" borderId="48" xfId="0" applyNumberFormat="1" applyFont="1" applyBorder="1" applyAlignment="1">
      <alignment horizontal="center" vertical="center" wrapText="1"/>
    </xf>
    <xf numFmtId="0" fontId="30" fillId="33" borderId="48" xfId="0" applyFont="1" applyFill="1" applyBorder="1" applyAlignment="1">
      <alignment horizontal="center" vertical="center"/>
    </xf>
    <xf numFmtId="0" fontId="33" fillId="33" borderId="48" xfId="0" applyFont="1" applyFill="1" applyBorder="1" applyAlignment="1">
      <alignment horizontal="center" vertical="center"/>
    </xf>
    <xf numFmtId="0" fontId="32" fillId="0" borderId="48" xfId="0" applyFont="1" applyBorder="1" applyAlignment="1">
      <alignment vertical="center" wrapText="1"/>
    </xf>
    <xf numFmtId="9" fontId="33" fillId="31" borderId="48" xfId="3" applyFont="1" applyFill="1" applyBorder="1" applyAlignment="1">
      <alignment horizontal="center" vertical="center" wrapText="1"/>
    </xf>
    <xf numFmtId="167" fontId="33" fillId="21" borderId="48" xfId="0" applyNumberFormat="1" applyFont="1" applyFill="1" applyBorder="1" applyAlignment="1">
      <alignment horizontal="center" vertical="center" wrapText="1"/>
    </xf>
    <xf numFmtId="1" fontId="30" fillId="33" borderId="48" xfId="0" applyNumberFormat="1" applyFont="1" applyFill="1" applyBorder="1" applyAlignment="1">
      <alignment horizontal="center" vertical="center" wrapText="1"/>
    </xf>
    <xf numFmtId="164" fontId="30" fillId="33" borderId="48" xfId="0" applyNumberFormat="1" applyFont="1" applyFill="1" applyBorder="1" applyAlignment="1">
      <alignment horizontal="center" vertical="center" wrapText="1"/>
    </xf>
    <xf numFmtId="0" fontId="49" fillId="21" borderId="48" xfId="0" applyFont="1" applyFill="1" applyBorder="1" applyAlignment="1">
      <alignment horizontal="center" vertical="center" wrapText="1"/>
    </xf>
    <xf numFmtId="9" fontId="49" fillId="21" borderId="48" xfId="0" applyNumberFormat="1" applyFont="1" applyFill="1" applyBorder="1" applyAlignment="1">
      <alignment horizontal="center" vertical="center" wrapText="1"/>
    </xf>
    <xf numFmtId="10" fontId="49" fillId="21" borderId="48" xfId="0" applyNumberFormat="1" applyFont="1" applyFill="1" applyBorder="1" applyAlignment="1">
      <alignment horizontal="center" vertical="center" wrapText="1"/>
    </xf>
    <xf numFmtId="10" fontId="49" fillId="32" borderId="48" xfId="0" applyNumberFormat="1" applyFont="1" applyFill="1" applyBorder="1" applyAlignment="1">
      <alignment horizontal="center" vertical="center" wrapText="1"/>
    </xf>
    <xf numFmtId="170" fontId="49" fillId="21" borderId="48" xfId="0" applyNumberFormat="1" applyFont="1" applyFill="1" applyBorder="1" applyAlignment="1">
      <alignment horizontal="center" vertical="center" wrapText="1"/>
    </xf>
    <xf numFmtId="0" fontId="49" fillId="21" borderId="48" xfId="0" applyFont="1" applyFill="1" applyBorder="1" applyAlignment="1">
      <alignment vertical="center" wrapText="1"/>
    </xf>
    <xf numFmtId="3" fontId="49" fillId="21" borderId="48" xfId="0" applyNumberFormat="1" applyFont="1" applyFill="1" applyBorder="1" applyAlignment="1">
      <alignment vertical="center" wrapText="1"/>
    </xf>
    <xf numFmtId="0" fontId="50" fillId="21" borderId="48" xfId="0" applyFont="1" applyFill="1" applyBorder="1" applyAlignment="1">
      <alignment vertical="center" wrapText="1"/>
    </xf>
    <xf numFmtId="0" fontId="33" fillId="0" borderId="0" xfId="0" applyFont="1" applyAlignment="1">
      <alignment horizontal="center" vertical="center" wrapText="1"/>
    </xf>
    <xf numFmtId="44" fontId="30" fillId="0" borderId="0" xfId="11" applyFont="1" applyAlignment="1">
      <alignment vertical="center" wrapText="1"/>
    </xf>
    <xf numFmtId="0" fontId="30" fillId="0" borderId="0" xfId="0" applyFont="1" applyAlignment="1">
      <alignment horizontal="right" vertical="center" wrapText="1"/>
    </xf>
    <xf numFmtId="10" fontId="30" fillId="0" borderId="0" xfId="0" applyNumberFormat="1" applyFont="1" applyAlignment="1">
      <alignment horizontal="center" vertical="center" wrapText="1"/>
    </xf>
    <xf numFmtId="170" fontId="30" fillId="0" borderId="0" xfId="0" applyNumberFormat="1" applyFont="1" applyAlignment="1">
      <alignment vertical="center" wrapText="1"/>
    </xf>
    <xf numFmtId="171" fontId="51" fillId="9" borderId="0" xfId="0" applyNumberFormat="1" applyFont="1" applyFill="1" applyAlignment="1">
      <alignment horizontal="right" vertical="center"/>
    </xf>
    <xf numFmtId="170" fontId="52" fillId="0" borderId="0" xfId="0" applyNumberFormat="1" applyFont="1" applyAlignment="1">
      <alignment vertical="center" wrapText="1"/>
    </xf>
    <xf numFmtId="0" fontId="32" fillId="0" borderId="0" xfId="5" applyAlignment="1">
      <alignment vertical="center"/>
    </xf>
    <xf numFmtId="0" fontId="56" fillId="13" borderId="1" xfId="5" applyFont="1" applyFill="1" applyBorder="1" applyAlignment="1">
      <alignment horizontal="center" vertical="center" wrapText="1"/>
    </xf>
    <xf numFmtId="0" fontId="56" fillId="0" borderId="68" xfId="5" applyFont="1" applyBorder="1" applyAlignment="1">
      <alignment vertical="center" wrapText="1"/>
    </xf>
    <xf numFmtId="0" fontId="57" fillId="0" borderId="68" xfId="5" applyFont="1" applyBorder="1" applyAlignment="1">
      <alignment horizontal="justify" vertical="center" wrapText="1"/>
    </xf>
    <xf numFmtId="0" fontId="57" fillId="0" borderId="69" xfId="5" applyFont="1" applyBorder="1" applyAlignment="1">
      <alignment horizontal="justify" vertical="center" wrapText="1"/>
    </xf>
    <xf numFmtId="0" fontId="57" fillId="0" borderId="70" xfId="5" applyFont="1" applyBorder="1" applyAlignment="1">
      <alignment horizontal="justify" vertical="center" wrapText="1"/>
    </xf>
    <xf numFmtId="0" fontId="56" fillId="0" borderId="71" xfId="5" applyFont="1" applyBorder="1" applyAlignment="1">
      <alignment vertical="center" wrapText="1"/>
    </xf>
    <xf numFmtId="0" fontId="57" fillId="0" borderId="71" xfId="5" applyFont="1" applyBorder="1" applyAlignment="1">
      <alignment horizontal="justify" vertical="center" wrapText="1"/>
    </xf>
    <xf numFmtId="0" fontId="17" fillId="0" borderId="35" xfId="2" applyBorder="1" applyAlignment="1">
      <alignment vertical="center"/>
    </xf>
    <xf numFmtId="0" fontId="32" fillId="0" borderId="51" xfId="0" applyFont="1" applyBorder="1" applyAlignment="1">
      <alignment horizontal="center" vertical="center" wrapText="1"/>
    </xf>
    <xf numFmtId="1" fontId="30" fillId="0" borderId="48" xfId="3" applyNumberFormat="1" applyFont="1" applyBorder="1" applyAlignment="1">
      <alignment horizontal="center" vertical="center" wrapText="1"/>
    </xf>
    <xf numFmtId="0" fontId="32" fillId="0" borderId="65" xfId="0" applyFont="1" applyBorder="1" applyAlignment="1">
      <alignment horizontal="center" vertical="center" wrapText="1"/>
    </xf>
    <xf numFmtId="0" fontId="30" fillId="0" borderId="16" xfId="0" applyFont="1" applyBorder="1" applyAlignment="1">
      <alignment horizontal="left" vertical="center" wrapText="1"/>
    </xf>
    <xf numFmtId="0" fontId="30" fillId="0" borderId="16" xfId="0" applyFont="1" applyBorder="1" applyAlignment="1">
      <alignment vertical="center" wrapText="1"/>
    </xf>
    <xf numFmtId="0" fontId="32" fillId="0" borderId="16" xfId="0" applyFont="1" applyBorder="1" applyAlignment="1">
      <alignment horizontal="center" vertical="center" wrapText="1"/>
    </xf>
    <xf numFmtId="0" fontId="33" fillId="21" borderId="62" xfId="0" applyFont="1" applyFill="1" applyBorder="1" applyAlignment="1">
      <alignment vertical="center" wrapText="1"/>
    </xf>
    <xf numFmtId="3" fontId="33" fillId="21" borderId="62" xfId="0" applyNumberFormat="1" applyFont="1" applyFill="1" applyBorder="1" applyAlignment="1">
      <alignment vertical="center" wrapText="1"/>
    </xf>
    <xf numFmtId="3" fontId="33" fillId="21" borderId="51" xfId="0" applyNumberFormat="1" applyFont="1" applyFill="1" applyBorder="1" applyAlignment="1">
      <alignment vertical="center" wrapText="1"/>
    </xf>
    <xf numFmtId="0" fontId="33" fillId="21" borderId="16" xfId="0" applyFont="1" applyFill="1" applyBorder="1" applyAlignment="1">
      <alignment vertical="center" wrapText="1"/>
    </xf>
    <xf numFmtId="3" fontId="33" fillId="21" borderId="16" xfId="0" applyNumberFormat="1" applyFont="1" applyFill="1" applyBorder="1" applyAlignment="1">
      <alignment vertical="center" wrapText="1"/>
    </xf>
    <xf numFmtId="0" fontId="33" fillId="21" borderId="54" xfId="0" applyFont="1" applyFill="1" applyBorder="1" applyAlignment="1">
      <alignment vertical="center" wrapText="1"/>
    </xf>
    <xf numFmtId="3" fontId="33" fillId="21" borderId="54" xfId="0" applyNumberFormat="1" applyFont="1" applyFill="1" applyBorder="1" applyAlignment="1">
      <alignment vertical="center" wrapText="1"/>
    </xf>
    <xf numFmtId="167" fontId="33" fillId="31" borderId="48" xfId="3" applyNumberFormat="1" applyFont="1" applyFill="1" applyBorder="1" applyAlignment="1">
      <alignment horizontal="center" vertical="center" wrapText="1"/>
    </xf>
    <xf numFmtId="0" fontId="33" fillId="21" borderId="55" xfId="0" applyFont="1" applyFill="1" applyBorder="1" applyAlignment="1">
      <alignment vertical="center" wrapText="1"/>
    </xf>
    <xf numFmtId="0" fontId="30" fillId="0" borderId="72" xfId="0" applyFont="1" applyBorder="1" applyAlignment="1">
      <alignment horizontal="left" vertical="center" wrapText="1"/>
    </xf>
    <xf numFmtId="0" fontId="33" fillId="35" borderId="48" xfId="0" applyFont="1" applyFill="1" applyBorder="1" applyAlignment="1">
      <alignment vertical="center" wrapText="1"/>
    </xf>
    <xf numFmtId="3" fontId="33" fillId="35" borderId="48" xfId="0" applyNumberFormat="1" applyFont="1" applyFill="1" applyBorder="1" applyAlignment="1">
      <alignment vertical="center" wrapText="1"/>
    </xf>
    <xf numFmtId="1" fontId="33" fillId="35" borderId="48" xfId="0" applyNumberFormat="1" applyFont="1" applyFill="1" applyBorder="1" applyAlignment="1">
      <alignment horizontal="center" vertical="center" wrapText="1"/>
    </xf>
    <xf numFmtId="9" fontId="33" fillId="35" borderId="48" xfId="3" applyFont="1" applyFill="1" applyBorder="1" applyAlignment="1">
      <alignment horizontal="center" vertical="center" wrapText="1"/>
    </xf>
    <xf numFmtId="0" fontId="33" fillId="35" borderId="48" xfId="3" applyNumberFormat="1" applyFont="1" applyFill="1" applyBorder="1" applyAlignment="1">
      <alignment horizontal="center" vertical="center" wrapText="1"/>
    </xf>
    <xf numFmtId="0" fontId="33" fillId="35" borderId="48" xfId="0" applyFont="1" applyFill="1" applyBorder="1" applyAlignment="1">
      <alignment horizontal="center" vertical="center" wrapText="1"/>
    </xf>
    <xf numFmtId="3" fontId="33" fillId="35" borderId="48" xfId="0" applyNumberFormat="1" applyFont="1" applyFill="1" applyBorder="1" applyAlignment="1">
      <alignment horizontal="center" vertical="center" wrapText="1"/>
    </xf>
    <xf numFmtId="9" fontId="33" fillId="35" borderId="48" xfId="0" applyNumberFormat="1" applyFont="1" applyFill="1" applyBorder="1" applyAlignment="1">
      <alignment horizontal="center" vertical="center" wrapText="1"/>
    </xf>
    <xf numFmtId="10" fontId="33" fillId="35" borderId="48" xfId="0" applyNumberFormat="1" applyFont="1" applyFill="1" applyBorder="1" applyAlignment="1">
      <alignment horizontal="center" vertical="center" wrapText="1"/>
    </xf>
    <xf numFmtId="3" fontId="30" fillId="35" borderId="48" xfId="0" applyNumberFormat="1" applyFont="1" applyFill="1" applyBorder="1" applyAlignment="1">
      <alignment vertical="center" wrapText="1"/>
    </xf>
    <xf numFmtId="1" fontId="30" fillId="35" borderId="48" xfId="0" applyNumberFormat="1" applyFont="1" applyFill="1" applyBorder="1" applyAlignment="1">
      <alignment horizontal="center" vertical="center" wrapText="1"/>
    </xf>
    <xf numFmtId="3" fontId="30" fillId="35" borderId="48" xfId="0" applyNumberFormat="1" applyFont="1" applyFill="1" applyBorder="1" applyAlignment="1">
      <alignment horizontal="center" vertical="center" wrapText="1"/>
    </xf>
    <xf numFmtId="10" fontId="33" fillId="31" borderId="48" xfId="3" applyNumberFormat="1" applyFont="1" applyFill="1" applyBorder="1" applyAlignment="1">
      <alignment horizontal="center" vertical="center" wrapText="1"/>
    </xf>
    <xf numFmtId="9" fontId="30" fillId="3" borderId="48" xfId="0" applyNumberFormat="1" applyFont="1" applyFill="1" applyBorder="1" applyAlignment="1">
      <alignment horizontal="center" vertical="center"/>
    </xf>
    <xf numFmtId="0" fontId="30" fillId="31" borderId="48" xfId="0" applyFont="1" applyFill="1" applyBorder="1" applyAlignment="1">
      <alignment horizontal="center" vertical="center" wrapText="1"/>
    </xf>
    <xf numFmtId="14" fontId="30" fillId="0" borderId="48" xfId="0" applyNumberFormat="1" applyFont="1" applyBorder="1" applyAlignment="1">
      <alignment horizontal="center" vertical="center" wrapText="1"/>
    </xf>
    <xf numFmtId="0" fontId="33" fillId="34" borderId="48" xfId="0" applyFont="1" applyFill="1" applyBorder="1" applyAlignment="1">
      <alignment horizontal="center" vertical="center" wrapText="1"/>
    </xf>
    <xf numFmtId="14" fontId="30" fillId="23" borderId="48" xfId="0" applyNumberFormat="1" applyFont="1" applyFill="1" applyBorder="1" applyAlignment="1">
      <alignment horizontal="center" vertical="center" wrapText="1"/>
    </xf>
    <xf numFmtId="0" fontId="46" fillId="0" borderId="0" xfId="0" applyFont="1" applyAlignment="1">
      <alignment vertical="center"/>
    </xf>
    <xf numFmtId="0" fontId="46" fillId="3" borderId="0" xfId="0" applyFont="1" applyFill="1" applyAlignment="1">
      <alignment vertical="center"/>
    </xf>
    <xf numFmtId="0" fontId="46" fillId="19" borderId="0" xfId="0" applyFont="1" applyFill="1" applyAlignment="1">
      <alignment vertical="center"/>
    </xf>
    <xf numFmtId="3" fontId="30" fillId="33" borderId="48" xfId="0" applyNumberFormat="1" applyFont="1" applyFill="1" applyBorder="1" applyAlignment="1">
      <alignment vertical="center" wrapText="1"/>
    </xf>
    <xf numFmtId="0" fontId="46" fillId="0" borderId="0" xfId="0" applyFont="1" applyAlignment="1">
      <alignment vertical="center" wrapText="1"/>
    </xf>
    <xf numFmtId="0" fontId="30" fillId="33" borderId="48" xfId="0" applyFont="1" applyFill="1" applyBorder="1" applyAlignment="1">
      <alignment vertical="center" wrapText="1"/>
    </xf>
    <xf numFmtId="0" fontId="30" fillId="9" borderId="48" xfId="0" applyFont="1" applyFill="1" applyBorder="1" applyAlignment="1">
      <alignment vertical="center" wrapText="1"/>
    </xf>
    <xf numFmtId="0" fontId="30" fillId="9" borderId="0" xfId="0" applyFont="1" applyFill="1" applyAlignment="1">
      <alignment vertical="center" wrapText="1"/>
    </xf>
    <xf numFmtId="0" fontId="53" fillId="0" borderId="0" xfId="0" applyFont="1" applyAlignment="1">
      <alignment vertical="center"/>
    </xf>
    <xf numFmtId="0" fontId="46" fillId="9" borderId="0" xfId="0" applyFont="1" applyFill="1" applyAlignment="1">
      <alignment vertical="center"/>
    </xf>
    <xf numFmtId="44" fontId="46" fillId="0" borderId="0" xfId="11" applyFont="1" applyAlignment="1">
      <alignment vertical="center"/>
    </xf>
    <xf numFmtId="10" fontId="46" fillId="0" borderId="0" xfId="0" applyNumberFormat="1" applyFont="1" applyAlignment="1">
      <alignment vertical="center"/>
    </xf>
    <xf numFmtId="0" fontId="46" fillId="0" borderId="0" xfId="0" applyFont="1" applyAlignment="1">
      <alignment horizontal="center" vertical="center"/>
    </xf>
    <xf numFmtId="0" fontId="46" fillId="23" borderId="0" xfId="0" applyFont="1" applyFill="1" applyAlignment="1">
      <alignment vertical="center"/>
    </xf>
    <xf numFmtId="167" fontId="30" fillId="23" borderId="48" xfId="0" applyNumberFormat="1" applyFont="1" applyFill="1" applyBorder="1" applyAlignment="1">
      <alignment horizontal="center" vertical="center" wrapText="1"/>
    </xf>
    <xf numFmtId="0" fontId="30" fillId="37" borderId="48" xfId="0" applyFont="1" applyFill="1" applyBorder="1" applyAlignment="1">
      <alignment vertical="center" wrapText="1"/>
    </xf>
    <xf numFmtId="9" fontId="30" fillId="23" borderId="48" xfId="0" applyNumberFormat="1" applyFont="1" applyFill="1" applyBorder="1" applyAlignment="1">
      <alignment horizontal="center" vertical="center"/>
    </xf>
    <xf numFmtId="9" fontId="30" fillId="23" borderId="48" xfId="0" applyNumberFormat="1" applyFont="1" applyFill="1" applyBorder="1" applyAlignment="1">
      <alignment horizontal="center" vertical="center" wrapText="1"/>
    </xf>
    <xf numFmtId="3" fontId="33" fillId="23" borderId="48" xfId="0" applyNumberFormat="1" applyFont="1" applyFill="1" applyBorder="1" applyAlignment="1">
      <alignment vertical="center" wrapText="1"/>
    </xf>
    <xf numFmtId="3" fontId="30" fillId="23" borderId="48" xfId="0" applyNumberFormat="1" applyFont="1" applyFill="1" applyBorder="1" applyAlignment="1">
      <alignment vertical="center" wrapText="1"/>
    </xf>
    <xf numFmtId="0" fontId="47" fillId="23" borderId="48" xfId="0" applyFont="1" applyFill="1" applyBorder="1" applyAlignment="1">
      <alignment vertical="center"/>
    </xf>
    <xf numFmtId="3" fontId="30" fillId="23" borderId="48" xfId="0" applyNumberFormat="1" applyFont="1" applyFill="1" applyBorder="1" applyAlignment="1">
      <alignment horizontal="center" vertical="center" wrapText="1"/>
    </xf>
    <xf numFmtId="9" fontId="33" fillId="23" borderId="48" xfId="0" applyNumberFormat="1" applyFont="1" applyFill="1" applyBorder="1" applyAlignment="1">
      <alignment horizontal="center" vertical="center"/>
    </xf>
    <xf numFmtId="14" fontId="30" fillId="21" borderId="48" xfId="0" applyNumberFormat="1" applyFont="1" applyFill="1" applyBorder="1" applyAlignment="1">
      <alignment horizontal="center" vertical="center" wrapText="1"/>
    </xf>
    <xf numFmtId="9" fontId="33" fillId="34" borderId="48" xfId="0" applyNumberFormat="1" applyFont="1" applyFill="1" applyBorder="1" applyAlignment="1">
      <alignment vertical="center" wrapText="1"/>
    </xf>
    <xf numFmtId="0" fontId="45" fillId="21" borderId="48" xfId="0" applyFont="1" applyFill="1" applyBorder="1" applyAlignment="1">
      <alignment vertical="center" wrapText="1"/>
    </xf>
    <xf numFmtId="0" fontId="45" fillId="35" borderId="48" xfId="0" applyFont="1" applyFill="1" applyBorder="1" applyAlignment="1">
      <alignment vertical="center" wrapText="1"/>
    </xf>
    <xf numFmtId="0" fontId="45" fillId="31" borderId="48" xfId="0" applyFont="1" applyFill="1" applyBorder="1" applyAlignment="1">
      <alignment vertical="center" wrapText="1"/>
    </xf>
    <xf numFmtId="9" fontId="33" fillId="21" borderId="48" xfId="0" applyNumberFormat="1" applyFont="1" applyFill="1" applyBorder="1" applyAlignment="1">
      <alignment vertical="center" wrapText="1"/>
    </xf>
    <xf numFmtId="9" fontId="33" fillId="35" borderId="48" xfId="3" applyFont="1" applyFill="1" applyBorder="1" applyAlignment="1">
      <alignment vertical="center" wrapText="1"/>
    </xf>
    <xf numFmtId="9" fontId="33" fillId="31" borderId="48" xfId="0" applyNumberFormat="1" applyFont="1" applyFill="1" applyBorder="1" applyAlignment="1">
      <alignment vertical="center" wrapText="1"/>
    </xf>
    <xf numFmtId="1" fontId="33" fillId="21" borderId="48" xfId="0" applyNumberFormat="1" applyFont="1" applyFill="1" applyBorder="1" applyAlignment="1">
      <alignment vertical="center" wrapText="1"/>
    </xf>
    <xf numFmtId="172" fontId="33" fillId="26" borderId="48" xfId="0" applyNumberFormat="1" applyFont="1" applyFill="1" applyBorder="1" applyAlignment="1">
      <alignment horizontal="center" vertical="center" wrapText="1"/>
    </xf>
    <xf numFmtId="172" fontId="33" fillId="35" borderId="48" xfId="0" applyNumberFormat="1" applyFont="1" applyFill="1" applyBorder="1" applyAlignment="1">
      <alignment horizontal="center" vertical="center" wrapText="1"/>
    </xf>
    <xf numFmtId="172" fontId="33" fillId="31" borderId="48" xfId="0" applyNumberFormat="1" applyFont="1" applyFill="1" applyBorder="1" applyAlignment="1">
      <alignment horizontal="center" vertical="center" wrapText="1"/>
    </xf>
    <xf numFmtId="172" fontId="33" fillId="21" borderId="48" xfId="0" applyNumberFormat="1" applyFont="1" applyFill="1" applyBorder="1" applyAlignment="1">
      <alignment horizontal="center" vertical="center" wrapText="1"/>
    </xf>
    <xf numFmtId="172" fontId="32" fillId="0" borderId="48" xfId="0" applyNumberFormat="1" applyFont="1" applyBorder="1" applyAlignment="1">
      <alignment horizontal="center" vertical="center"/>
    </xf>
    <xf numFmtId="172" fontId="33" fillId="34" borderId="48" xfId="0" applyNumberFormat="1" applyFont="1" applyFill="1" applyBorder="1" applyAlignment="1">
      <alignment horizontal="center" vertical="center" wrapText="1"/>
    </xf>
    <xf numFmtId="172" fontId="49" fillId="32" borderId="48" xfId="0" applyNumberFormat="1" applyFont="1" applyFill="1" applyBorder="1" applyAlignment="1">
      <alignment horizontal="center" vertical="center" wrapText="1"/>
    </xf>
    <xf numFmtId="172" fontId="30" fillId="0" borderId="0" xfId="0" applyNumberFormat="1" applyFont="1" applyAlignment="1">
      <alignment horizontal="center" vertical="center" wrapText="1"/>
    </xf>
    <xf numFmtId="172" fontId="46" fillId="0" borderId="0" xfId="0" applyNumberFormat="1" applyFont="1" applyAlignment="1">
      <alignment horizontal="center" vertical="center"/>
    </xf>
    <xf numFmtId="172" fontId="30" fillId="0" borderId="0" xfId="0" applyNumberFormat="1" applyFont="1" applyAlignment="1">
      <alignment vertical="center" wrapText="1"/>
    </xf>
    <xf numFmtId="172" fontId="46" fillId="0" borderId="0" xfId="0" applyNumberFormat="1" applyFont="1" applyAlignment="1">
      <alignment vertical="center"/>
    </xf>
    <xf numFmtId="172" fontId="33" fillId="0" borderId="48" xfId="0" applyNumberFormat="1" applyFont="1" applyBorder="1" applyAlignment="1">
      <alignment horizontal="center" vertical="center" wrapText="1"/>
    </xf>
    <xf numFmtId="172" fontId="30" fillId="0" borderId="48" xfId="0" applyNumberFormat="1" applyFont="1" applyBorder="1" applyAlignment="1">
      <alignment horizontal="center" vertical="center" wrapText="1"/>
    </xf>
    <xf numFmtId="10" fontId="33" fillId="21" borderId="51" xfId="0" applyNumberFormat="1" applyFont="1" applyFill="1" applyBorder="1" applyAlignment="1">
      <alignment horizontal="center" vertical="center" wrapText="1"/>
    </xf>
    <xf numFmtId="172" fontId="33" fillId="28" borderId="16" xfId="0" applyNumberFormat="1" applyFont="1" applyFill="1" applyBorder="1" applyAlignment="1">
      <alignment horizontal="center" vertical="center" wrapText="1"/>
    </xf>
    <xf numFmtId="14" fontId="30" fillId="3" borderId="48" xfId="0" applyNumberFormat="1" applyFont="1" applyFill="1" applyBorder="1" applyAlignment="1">
      <alignment horizontal="center" vertical="center" wrapText="1"/>
    </xf>
    <xf numFmtId="49" fontId="31" fillId="40" borderId="16" xfId="12" quotePrefix="1" applyNumberFormat="1" applyFont="1" applyFill="1" applyBorder="1" applyAlignment="1">
      <alignment horizontal="center" vertical="center" wrapText="1"/>
    </xf>
    <xf numFmtId="0" fontId="30" fillId="0" borderId="0" xfId="12" applyFont="1" applyAlignment="1">
      <alignment vertical="center"/>
    </xf>
    <xf numFmtId="0" fontId="31" fillId="40" borderId="16" xfId="12" applyFont="1" applyFill="1" applyBorder="1" applyAlignment="1">
      <alignment horizontal="center" vertical="center" wrapText="1"/>
    </xf>
    <xf numFmtId="49" fontId="31" fillId="40" borderId="16" xfId="12" applyNumberFormat="1" applyFont="1" applyFill="1" applyBorder="1" applyAlignment="1">
      <alignment horizontal="center" vertical="center" wrapText="1"/>
    </xf>
    <xf numFmtId="0" fontId="31" fillId="35" borderId="16" xfId="0" applyFont="1" applyFill="1" applyBorder="1" applyAlignment="1">
      <alignment vertical="center" wrapText="1"/>
    </xf>
    <xf numFmtId="44" fontId="31" fillId="35" borderId="16" xfId="0" applyNumberFormat="1" applyFont="1" applyFill="1" applyBorder="1" applyAlignment="1">
      <alignment horizontal="right" vertical="center" wrapText="1"/>
    </xf>
    <xf numFmtId="44" fontId="52" fillId="0" borderId="16" xfId="12" applyNumberFormat="1" applyFont="1" applyBorder="1" applyAlignment="1">
      <alignment horizontal="left" vertical="center"/>
    </xf>
    <xf numFmtId="0" fontId="60" fillId="0" borderId="0" xfId="12" applyFont="1" applyAlignment="1">
      <alignment vertical="center"/>
    </xf>
    <xf numFmtId="0" fontId="33" fillId="31" borderId="16" xfId="0" applyFont="1" applyFill="1" applyBorder="1" applyAlignment="1">
      <alignment vertical="center" wrapText="1"/>
    </xf>
    <xf numFmtId="44" fontId="33" fillId="31" borderId="16" xfId="0" applyNumberFormat="1" applyFont="1" applyFill="1" applyBorder="1" applyAlignment="1">
      <alignment horizontal="right" vertical="center" wrapText="1"/>
    </xf>
    <xf numFmtId="44" fontId="30" fillId="0" borderId="16" xfId="12" applyNumberFormat="1" applyFont="1" applyBorder="1" applyAlignment="1">
      <alignment horizontal="left" vertical="center"/>
    </xf>
    <xf numFmtId="0" fontId="39" fillId="0" borderId="0" xfId="12" applyFont="1" applyAlignment="1">
      <alignment vertical="center"/>
    </xf>
    <xf numFmtId="0" fontId="33" fillId="21" borderId="16" xfId="0" applyFont="1" applyFill="1" applyBorder="1" applyAlignment="1">
      <alignment horizontal="left" vertical="center" wrapText="1"/>
    </xf>
    <xf numFmtId="44" fontId="33" fillId="21" borderId="16" xfId="0" applyNumberFormat="1" applyFont="1" applyFill="1" applyBorder="1" applyAlignment="1">
      <alignment horizontal="right" vertical="center" wrapText="1"/>
    </xf>
    <xf numFmtId="44" fontId="30" fillId="23" borderId="16" xfId="12" applyNumberFormat="1" applyFont="1" applyFill="1" applyBorder="1" applyAlignment="1">
      <alignment horizontal="left" vertical="center"/>
    </xf>
    <xf numFmtId="44" fontId="39" fillId="23" borderId="0" xfId="12" applyNumberFormat="1" applyFont="1" applyFill="1" applyAlignment="1">
      <alignment vertical="center"/>
    </xf>
    <xf numFmtId="0" fontId="30" fillId="10" borderId="16" xfId="0" applyFont="1" applyFill="1" applyBorder="1" applyAlignment="1">
      <alignment horizontal="left" vertical="center" wrapText="1"/>
    </xf>
    <xf numFmtId="44" fontId="30" fillId="10" borderId="16" xfId="0" applyNumberFormat="1" applyFont="1" applyFill="1" applyBorder="1" applyAlignment="1">
      <alignment horizontal="right" vertical="center"/>
    </xf>
    <xf numFmtId="0" fontId="30" fillId="38" borderId="16" xfId="0" applyFont="1" applyFill="1" applyBorder="1" applyAlignment="1">
      <alignment horizontal="left" vertical="center" wrapText="1"/>
    </xf>
    <xf numFmtId="44" fontId="30" fillId="38" borderId="16" xfId="0" applyNumberFormat="1" applyFont="1" applyFill="1" applyBorder="1" applyAlignment="1">
      <alignment horizontal="right" vertical="center"/>
    </xf>
    <xf numFmtId="44" fontId="30" fillId="0" borderId="16" xfId="0" applyNumberFormat="1" applyFont="1" applyBorder="1" applyAlignment="1">
      <alignment horizontal="right" vertical="center"/>
    </xf>
    <xf numFmtId="44" fontId="30" fillId="23" borderId="16" xfId="12" applyNumberFormat="1" applyFont="1" applyFill="1" applyBorder="1" applyAlignment="1">
      <alignment horizontal="center" vertical="center"/>
    </xf>
    <xf numFmtId="44" fontId="33" fillId="34" borderId="16" xfId="0" applyNumberFormat="1" applyFont="1" applyFill="1" applyBorder="1" applyAlignment="1">
      <alignment horizontal="right" vertical="center" wrapText="1"/>
    </xf>
    <xf numFmtId="0" fontId="30" fillId="42" borderId="16" xfId="0" applyFont="1" applyFill="1" applyBorder="1" applyAlignment="1">
      <alignment horizontal="left" vertical="center" wrapText="1"/>
    </xf>
    <xf numFmtId="44" fontId="30" fillId="42" borderId="16" xfId="0" applyNumberFormat="1" applyFont="1" applyFill="1" applyBorder="1" applyAlignment="1">
      <alignment horizontal="right" vertical="center"/>
    </xf>
    <xf numFmtId="0" fontId="30" fillId="39" borderId="16" xfId="0" applyFont="1" applyFill="1" applyBorder="1" applyAlignment="1">
      <alignment horizontal="left" vertical="center" wrapText="1"/>
    </xf>
    <xf numFmtId="44" fontId="30" fillId="39" borderId="16" xfId="0" applyNumberFormat="1" applyFont="1" applyFill="1" applyBorder="1" applyAlignment="1">
      <alignment horizontal="right" vertical="center"/>
    </xf>
    <xf numFmtId="44" fontId="61" fillId="0" borderId="16" xfId="12" applyNumberFormat="1" applyFont="1" applyBorder="1" applyAlignment="1">
      <alignment horizontal="left" vertical="center"/>
    </xf>
    <xf numFmtId="0" fontId="30" fillId="42" borderId="16" xfId="0" applyFont="1" applyFill="1" applyBorder="1" applyAlignment="1">
      <alignment vertical="center" wrapText="1"/>
    </xf>
    <xf numFmtId="44" fontId="30" fillId="0" borderId="16" xfId="12" applyNumberFormat="1" applyFont="1" applyBorder="1" applyAlignment="1">
      <alignment horizontal="center" vertical="center"/>
    </xf>
    <xf numFmtId="0" fontId="31" fillId="31" borderId="16" xfId="0" applyFont="1" applyFill="1" applyBorder="1" applyAlignment="1">
      <alignment vertical="center" wrapText="1"/>
    </xf>
    <xf numFmtId="44" fontId="33" fillId="36" borderId="16" xfId="0" applyNumberFormat="1" applyFont="1" applyFill="1" applyBorder="1" applyAlignment="1">
      <alignment horizontal="right" vertical="center" wrapText="1"/>
    </xf>
    <xf numFmtId="44" fontId="40" fillId="23" borderId="16" xfId="12" applyNumberFormat="1" applyFont="1" applyFill="1" applyBorder="1" applyAlignment="1">
      <alignment horizontal="right" vertical="center"/>
    </xf>
    <xf numFmtId="0" fontId="31" fillId="0" borderId="0" xfId="0" applyFont="1" applyAlignment="1">
      <alignment vertical="center" wrapText="1"/>
    </xf>
    <xf numFmtId="44" fontId="33" fillId="0" borderId="0" xfId="0" applyNumberFormat="1" applyFont="1" applyAlignment="1">
      <alignment horizontal="right" vertical="center" wrapText="1"/>
    </xf>
    <xf numFmtId="44" fontId="40" fillId="0" borderId="0" xfId="12" applyNumberFormat="1" applyFont="1" applyAlignment="1">
      <alignment horizontal="right" vertical="center"/>
    </xf>
    <xf numFmtId="0" fontId="39" fillId="0" borderId="0" xfId="12" applyFont="1" applyAlignment="1">
      <alignment vertical="center" wrapText="1"/>
    </xf>
    <xf numFmtId="10" fontId="33" fillId="32" borderId="48" xfId="0" applyNumberFormat="1" applyFont="1" applyFill="1" applyBorder="1" applyAlignment="1">
      <alignment horizontal="center" vertical="center" wrapText="1"/>
    </xf>
    <xf numFmtId="10" fontId="30" fillId="0" borderId="48" xfId="3" applyNumberFormat="1" applyFont="1" applyFill="1" applyBorder="1" applyAlignment="1">
      <alignment horizontal="center" vertical="center" wrapText="1"/>
    </xf>
    <xf numFmtId="10" fontId="33" fillId="21" borderId="48" xfId="3" applyNumberFormat="1" applyFont="1" applyFill="1" applyBorder="1" applyAlignment="1">
      <alignment horizontal="center" vertical="center" wrapText="1"/>
    </xf>
    <xf numFmtId="10" fontId="33" fillId="35" borderId="48" xfId="3" applyNumberFormat="1" applyFont="1" applyFill="1" applyBorder="1" applyAlignment="1">
      <alignment horizontal="center" vertical="center" wrapText="1"/>
    </xf>
    <xf numFmtId="0" fontId="30" fillId="3" borderId="48" xfId="0" applyFont="1" applyFill="1" applyBorder="1" applyAlignment="1">
      <alignment horizontal="center" vertical="center" wrapText="1"/>
    </xf>
    <xf numFmtId="0" fontId="30" fillId="0" borderId="48" xfId="3" applyNumberFormat="1" applyFont="1" applyBorder="1" applyAlignment="1">
      <alignment horizontal="center" vertical="center" wrapText="1"/>
    </xf>
    <xf numFmtId="0" fontId="30" fillId="0" borderId="48" xfId="3" applyNumberFormat="1" applyFont="1" applyFill="1" applyBorder="1" applyAlignment="1">
      <alignment horizontal="center" vertical="center" wrapText="1"/>
    </xf>
    <xf numFmtId="0" fontId="30" fillId="0" borderId="48" xfId="3" applyNumberFormat="1" applyFont="1" applyFill="1" applyBorder="1" applyAlignment="1">
      <alignment horizontal="center" vertical="center"/>
    </xf>
    <xf numFmtId="9" fontId="33" fillId="0" borderId="48" xfId="3" applyFont="1" applyFill="1" applyBorder="1" applyAlignment="1">
      <alignment horizontal="center" vertical="center"/>
    </xf>
    <xf numFmtId="9" fontId="30" fillId="23" borderId="48" xfId="3" applyFont="1" applyFill="1" applyBorder="1" applyAlignment="1">
      <alignment horizontal="center" vertical="center" wrapText="1"/>
    </xf>
    <xf numFmtId="44" fontId="33" fillId="0" borderId="48" xfId="11" applyFont="1" applyBorder="1" applyAlignment="1">
      <alignment horizontal="center" vertical="center" wrapText="1"/>
    </xf>
    <xf numFmtId="3" fontId="33" fillId="0" borderId="48" xfId="0" applyNumberFormat="1" applyFont="1" applyBorder="1" applyAlignment="1">
      <alignment horizontal="center" vertical="center" wrapText="1"/>
    </xf>
    <xf numFmtId="10" fontId="33" fillId="21" borderId="50" xfId="0" applyNumberFormat="1" applyFont="1" applyFill="1" applyBorder="1" applyAlignment="1">
      <alignment horizontal="center" vertical="center" wrapText="1"/>
    </xf>
    <xf numFmtId="169" fontId="32" fillId="0" borderId="48" xfId="0" applyNumberFormat="1" applyFont="1" applyBorder="1" applyAlignment="1">
      <alignment horizontal="center" vertical="center"/>
    </xf>
    <xf numFmtId="172" fontId="33" fillId="35" borderId="62" xfId="0" applyNumberFormat="1" applyFont="1" applyFill="1" applyBorder="1" applyAlignment="1">
      <alignment horizontal="center" vertical="center" wrapText="1"/>
    </xf>
    <xf numFmtId="168" fontId="33" fillId="31" borderId="48" xfId="0" applyNumberFormat="1" applyFont="1" applyFill="1" applyBorder="1" applyAlignment="1">
      <alignment horizontal="center" vertical="center" wrapText="1"/>
    </xf>
    <xf numFmtId="168" fontId="33" fillId="21" borderId="48" xfId="0" applyNumberFormat="1" applyFont="1" applyFill="1" applyBorder="1" applyAlignment="1">
      <alignment horizontal="center" vertical="center" wrapText="1"/>
    </xf>
    <xf numFmtId="168" fontId="33" fillId="34" borderId="48" xfId="0" applyNumberFormat="1" applyFont="1" applyFill="1" applyBorder="1" applyAlignment="1">
      <alignment horizontal="center" vertical="center" wrapText="1"/>
    </xf>
    <xf numFmtId="168" fontId="33" fillId="35" borderId="48" xfId="0" applyNumberFormat="1" applyFont="1" applyFill="1" applyBorder="1" applyAlignment="1">
      <alignment horizontal="center" vertical="center" wrapText="1"/>
    </xf>
    <xf numFmtId="168" fontId="49" fillId="21" borderId="48" xfId="0" applyNumberFormat="1" applyFont="1" applyFill="1" applyBorder="1" applyAlignment="1">
      <alignment horizontal="center" vertical="center" wrapText="1"/>
    </xf>
    <xf numFmtId="168" fontId="33" fillId="0" borderId="48" xfId="0" applyNumberFormat="1" applyFont="1" applyBorder="1" applyAlignment="1">
      <alignment horizontal="center" vertical="center" wrapText="1"/>
    </xf>
    <xf numFmtId="2" fontId="30" fillId="0" borderId="48" xfId="0" applyNumberFormat="1" applyFont="1" applyBorder="1" applyAlignment="1">
      <alignment horizontal="center" vertical="center" wrapText="1"/>
    </xf>
    <xf numFmtId="10" fontId="30" fillId="0" borderId="48" xfId="0" applyNumberFormat="1" applyFont="1" applyBorder="1" applyAlignment="1">
      <alignment horizontal="center" vertical="center"/>
    </xf>
    <xf numFmtId="0" fontId="30" fillId="0" borderId="48" xfId="0" applyFont="1" applyBorder="1" applyAlignment="1">
      <alignment horizontal="center" vertical="center"/>
    </xf>
    <xf numFmtId="0" fontId="33" fillId="0" borderId="48" xfId="0" applyFont="1" applyBorder="1" applyAlignment="1">
      <alignment horizontal="center" vertical="center"/>
    </xf>
    <xf numFmtId="44" fontId="33" fillId="0" borderId="62" xfId="11" applyFont="1" applyFill="1" applyBorder="1" applyAlignment="1">
      <alignment horizontal="center" vertical="center" wrapText="1"/>
    </xf>
    <xf numFmtId="44" fontId="33" fillId="0" borderId="48" xfId="11" applyFont="1" applyFill="1" applyBorder="1" applyAlignment="1">
      <alignment horizontal="center" vertical="center" wrapText="1"/>
    </xf>
    <xf numFmtId="1" fontId="30" fillId="0" borderId="48" xfId="0" applyNumberFormat="1" applyFont="1" applyBorder="1" applyAlignment="1">
      <alignment horizontal="center" vertical="center"/>
    </xf>
    <xf numFmtId="1" fontId="30" fillId="0" borderId="48" xfId="3" applyNumberFormat="1" applyFont="1" applyFill="1" applyBorder="1" applyAlignment="1">
      <alignment horizontal="center" vertical="center"/>
    </xf>
    <xf numFmtId="164" fontId="30" fillId="0" borderId="48" xfId="0" applyNumberFormat="1" applyFont="1" applyBorder="1" applyAlignment="1">
      <alignment horizontal="center" vertical="center" wrapText="1"/>
    </xf>
    <xf numFmtId="169" fontId="48" fillId="0" borderId="48" xfId="0" applyNumberFormat="1" applyFont="1" applyBorder="1" applyAlignment="1">
      <alignment horizontal="center" vertical="center"/>
    </xf>
    <xf numFmtId="44" fontId="30" fillId="0" borderId="48" xfId="11" applyFont="1" applyFill="1" applyBorder="1" applyAlignment="1">
      <alignment horizontal="center" vertical="center" wrapText="1"/>
    </xf>
    <xf numFmtId="0" fontId="33" fillId="0" borderId="48" xfId="3" applyNumberFormat="1" applyFont="1" applyFill="1" applyBorder="1" applyAlignment="1">
      <alignment horizontal="center" vertical="center"/>
    </xf>
    <xf numFmtId="0" fontId="32" fillId="0" borderId="48" xfId="3" applyNumberFormat="1" applyFont="1" applyFill="1" applyBorder="1" applyAlignment="1">
      <alignment horizontal="center" vertical="center" wrapText="1"/>
    </xf>
    <xf numFmtId="44" fontId="33" fillId="0" borderId="49" xfId="11" applyFont="1" applyFill="1" applyBorder="1" applyAlignment="1">
      <alignment horizontal="center" vertical="center" wrapText="1"/>
    </xf>
    <xf numFmtId="10" fontId="30" fillId="0" borderId="49" xfId="0" applyNumberFormat="1" applyFont="1" applyBorder="1" applyAlignment="1">
      <alignment horizontal="center" vertical="center" wrapText="1"/>
    </xf>
    <xf numFmtId="10" fontId="30" fillId="0" borderId="51" xfId="0" applyNumberFormat="1" applyFont="1" applyBorder="1" applyAlignment="1">
      <alignment horizontal="center" vertical="center" wrapText="1"/>
    </xf>
    <xf numFmtId="1" fontId="33" fillId="0" borderId="48" xfId="0" applyNumberFormat="1" applyFont="1" applyBorder="1" applyAlignment="1">
      <alignment horizontal="center" vertical="center"/>
    </xf>
    <xf numFmtId="44" fontId="30" fillId="0" borderId="49" xfId="11" applyFont="1" applyFill="1" applyBorder="1" applyAlignment="1">
      <alignment horizontal="center" vertical="center" wrapText="1"/>
    </xf>
    <xf numFmtId="1" fontId="32" fillId="0" borderId="48" xfId="3" applyNumberFormat="1" applyFont="1" applyFill="1" applyBorder="1" applyAlignment="1">
      <alignment horizontal="center" vertical="center" wrapText="1"/>
    </xf>
    <xf numFmtId="1" fontId="30" fillId="0" borderId="48" xfId="3" applyNumberFormat="1" applyFont="1" applyFill="1" applyBorder="1" applyAlignment="1">
      <alignment horizontal="center" vertical="center" wrapText="1"/>
    </xf>
    <xf numFmtId="0" fontId="30" fillId="0" borderId="54" xfId="0" applyFont="1" applyBorder="1" applyAlignment="1">
      <alignment horizontal="left" vertical="center" wrapText="1"/>
    </xf>
    <xf numFmtId="0" fontId="30" fillId="0" borderId="49" xfId="0" applyFont="1" applyBorder="1" applyAlignment="1">
      <alignment horizontal="left" vertical="center" wrapText="1"/>
    </xf>
    <xf numFmtId="0" fontId="32" fillId="0" borderId="66" xfId="0" applyFont="1" applyBorder="1" applyAlignment="1">
      <alignment horizontal="center" vertical="center" wrapText="1"/>
    </xf>
    <xf numFmtId="0" fontId="47" fillId="0" borderId="48" xfId="0" applyFont="1" applyBorder="1" applyAlignment="1">
      <alignment vertical="center" wrapText="1"/>
    </xf>
    <xf numFmtId="3" fontId="30" fillId="21" borderId="48" xfId="0" applyNumberFormat="1" applyFont="1" applyFill="1" applyBorder="1" applyAlignment="1">
      <alignment vertical="center" wrapText="1"/>
    </xf>
    <xf numFmtId="0" fontId="0" fillId="0" borderId="16" xfId="0" applyBorder="1" applyAlignment="1" applyProtection="1">
      <alignment vertical="top"/>
      <protection locked="0"/>
    </xf>
    <xf numFmtId="0" fontId="8" fillId="0" borderId="16" xfId="0" applyFont="1" applyBorder="1" applyAlignment="1">
      <alignment horizontal="center" vertical="center" wrapText="1"/>
    </xf>
    <xf numFmtId="3" fontId="30" fillId="34" borderId="48" xfId="0" applyNumberFormat="1" applyFont="1" applyFill="1" applyBorder="1" applyAlignment="1">
      <alignment vertical="center" wrapText="1"/>
    </xf>
    <xf numFmtId="0" fontId="17" fillId="3" borderId="8" xfId="2" applyFill="1" applyBorder="1" applyAlignment="1" applyProtection="1">
      <alignment horizontal="left" vertical="top" wrapText="1"/>
      <protection locked="0"/>
    </xf>
    <xf numFmtId="0" fontId="4" fillId="3" borderId="7" xfId="0" applyFont="1" applyFill="1" applyBorder="1" applyAlignment="1" applyProtection="1">
      <alignment horizontal="center" vertical="center"/>
      <protection locked="0"/>
    </xf>
    <xf numFmtId="3" fontId="4" fillId="3" borderId="7" xfId="0" applyNumberFormat="1" applyFont="1" applyFill="1" applyBorder="1" applyAlignment="1" applyProtection="1">
      <alignment horizontal="center" vertical="center"/>
      <protection locked="0"/>
    </xf>
    <xf numFmtId="3" fontId="4" fillId="3" borderId="8" xfId="0" applyNumberFormat="1" applyFont="1" applyFill="1" applyBorder="1" applyAlignment="1" applyProtection="1">
      <alignment horizontal="center" vertical="top"/>
      <protection locked="0"/>
    </xf>
    <xf numFmtId="0" fontId="4" fillId="3" borderId="7" xfId="0" applyFont="1" applyFill="1" applyBorder="1" applyAlignment="1">
      <alignment horizontal="center" vertical="top"/>
    </xf>
    <xf numFmtId="0" fontId="4" fillId="0" borderId="14" xfId="0" applyFont="1" applyBorder="1" applyAlignment="1" applyProtection="1">
      <alignment vertical="top" wrapText="1"/>
      <protection locked="0"/>
    </xf>
    <xf numFmtId="0" fontId="22" fillId="0" borderId="16" xfId="0" applyFont="1" applyBorder="1" applyAlignment="1" applyProtection="1">
      <alignment horizontal="center" vertical="center"/>
      <protection locked="0"/>
    </xf>
    <xf numFmtId="9" fontId="22" fillId="6" borderId="12" xfId="0" applyNumberFormat="1" applyFont="1" applyFill="1" applyBorder="1" applyAlignment="1">
      <alignment horizontal="center" vertical="top"/>
    </xf>
    <xf numFmtId="0" fontId="4" fillId="0" borderId="8" xfId="0" applyFont="1" applyBorder="1" applyAlignment="1" applyProtection="1">
      <alignment horizontal="left" vertical="top" wrapText="1"/>
      <protection locked="0"/>
    </xf>
    <xf numFmtId="3" fontId="9" fillId="25" borderId="74" xfId="0" applyNumberFormat="1" applyFont="1" applyFill="1" applyBorder="1" applyAlignment="1">
      <alignment vertical="top"/>
    </xf>
    <xf numFmtId="0" fontId="9" fillId="25" borderId="74" xfId="0" applyFont="1" applyFill="1" applyBorder="1" applyAlignment="1">
      <alignment vertical="top" wrapText="1"/>
    </xf>
    <xf numFmtId="0" fontId="9" fillId="25" borderId="74" xfId="0" applyFont="1" applyFill="1" applyBorder="1" applyAlignment="1">
      <alignment horizontal="left" vertical="top" wrapText="1"/>
    </xf>
    <xf numFmtId="0" fontId="9" fillId="25" borderId="75" xfId="0" applyFont="1" applyFill="1" applyBorder="1" applyAlignment="1">
      <alignment horizontal="center" vertical="top" wrapText="1"/>
    </xf>
    <xf numFmtId="3" fontId="9" fillId="25" borderId="74" xfId="0" applyNumberFormat="1" applyFont="1" applyFill="1" applyBorder="1" applyAlignment="1">
      <alignment vertical="top" wrapText="1"/>
    </xf>
    <xf numFmtId="9" fontId="9" fillId="25" borderId="74" xfId="0" applyNumberFormat="1" applyFont="1" applyFill="1" applyBorder="1" applyAlignment="1">
      <alignment vertical="top"/>
    </xf>
    <xf numFmtId="164" fontId="9" fillId="25" borderId="75" xfId="0" applyNumberFormat="1" applyFont="1" applyFill="1" applyBorder="1" applyAlignment="1">
      <alignment horizontal="center" vertical="center" wrapText="1"/>
    </xf>
    <xf numFmtId="3" fontId="9" fillId="25" borderId="75" xfId="0" applyNumberFormat="1" applyFont="1" applyFill="1" applyBorder="1" applyAlignment="1">
      <alignment horizontal="center" vertical="center" wrapText="1"/>
    </xf>
    <xf numFmtId="3" fontId="4" fillId="3" borderId="7" xfId="0" applyNumberFormat="1" applyFont="1" applyFill="1" applyBorder="1" applyAlignment="1" applyProtection="1">
      <alignment horizontal="center" vertical="center" wrapText="1"/>
      <protection locked="0"/>
    </xf>
    <xf numFmtId="3" fontId="4" fillId="3" borderId="7" xfId="0" applyNumberFormat="1" applyFont="1" applyFill="1" applyBorder="1" applyAlignment="1" applyProtection="1">
      <alignment horizontal="center" vertical="top" wrapText="1"/>
      <protection locked="0"/>
    </xf>
    <xf numFmtId="3" fontId="9" fillId="3" borderId="7" xfId="0" applyNumberFormat="1" applyFont="1" applyFill="1" applyBorder="1" applyAlignment="1" applyProtection="1">
      <alignment horizontal="right" vertical="top" wrapText="1"/>
      <protection locked="0"/>
    </xf>
    <xf numFmtId="0" fontId="4" fillId="3" borderId="7" xfId="0" applyFont="1" applyFill="1" applyBorder="1" applyAlignment="1" applyProtection="1">
      <alignment horizontal="center" vertical="center" wrapText="1"/>
      <protection locked="0"/>
    </xf>
    <xf numFmtId="0" fontId="4" fillId="0" borderId="7" xfId="0" applyFont="1" applyBorder="1" applyAlignment="1">
      <alignment horizontal="center" vertical="center" wrapText="1"/>
    </xf>
    <xf numFmtId="0" fontId="3" fillId="3" borderId="8" xfId="0" applyFont="1" applyFill="1" applyBorder="1" applyAlignment="1" applyProtection="1">
      <alignment horizontal="center" vertical="center" wrapText="1"/>
      <protection locked="0"/>
    </xf>
    <xf numFmtId="0" fontId="3" fillId="3" borderId="12" xfId="0" applyFont="1" applyFill="1" applyBorder="1" applyAlignment="1">
      <alignment horizontal="center" vertical="center" wrapText="1"/>
    </xf>
    <xf numFmtId="0" fontId="8" fillId="14" borderId="33" xfId="0" applyFont="1" applyFill="1" applyBorder="1" applyAlignment="1" applyProtection="1">
      <alignment horizontal="center" vertical="center"/>
      <protection locked="0"/>
    </xf>
    <xf numFmtId="0" fontId="8" fillId="14" borderId="32" xfId="0" applyFont="1" applyFill="1" applyBorder="1" applyAlignment="1" applyProtection="1">
      <alignment horizontal="center" vertical="center"/>
      <protection locked="0"/>
    </xf>
    <xf numFmtId="0" fontId="4" fillId="43" borderId="8" xfId="0" applyFont="1" applyFill="1" applyBorder="1" applyAlignment="1">
      <alignment horizontal="center" vertical="center"/>
    </xf>
    <xf numFmtId="0" fontId="4" fillId="3" borderId="8" xfId="0" applyFont="1" applyFill="1" applyBorder="1" applyAlignment="1" applyProtection="1">
      <alignment horizontal="center" vertical="center"/>
      <protection locked="0"/>
    </xf>
    <xf numFmtId="0" fontId="7" fillId="3" borderId="12" xfId="0" applyFont="1" applyFill="1" applyBorder="1" applyAlignment="1">
      <alignment horizontal="center" vertical="center" wrapText="1"/>
    </xf>
    <xf numFmtId="0" fontId="8" fillId="14" borderId="6" xfId="0" applyFont="1" applyFill="1" applyBorder="1" applyAlignment="1" applyProtection="1">
      <alignment horizontal="center" vertical="center"/>
      <protection locked="0"/>
    </xf>
    <xf numFmtId="0" fontId="4" fillId="14" borderId="7" xfId="0" applyFont="1" applyFill="1" applyBorder="1" applyAlignment="1" applyProtection="1">
      <alignment horizontal="center"/>
      <protection locked="0"/>
    </xf>
    <xf numFmtId="0" fontId="8" fillId="14" borderId="7" xfId="0" applyFont="1" applyFill="1" applyBorder="1" applyAlignment="1" applyProtection="1">
      <alignment horizontal="center"/>
      <protection locked="0"/>
    </xf>
    <xf numFmtId="0" fontId="4" fillId="43" borderId="7" xfId="0" applyFont="1" applyFill="1" applyBorder="1" applyAlignment="1">
      <alignment horizontal="center" vertical="center"/>
    </xf>
    <xf numFmtId="0" fontId="4" fillId="43" borderId="7" xfId="0" applyFont="1" applyFill="1" applyBorder="1" applyAlignment="1">
      <alignment horizontal="center" vertical="center" wrapText="1"/>
    </xf>
    <xf numFmtId="0" fontId="4" fillId="43" borderId="8" xfId="0" applyFont="1" applyFill="1" applyBorder="1" applyAlignment="1">
      <alignment vertical="center" wrapText="1"/>
    </xf>
    <xf numFmtId="0" fontId="4" fillId="43" borderId="8" xfId="0" applyFont="1" applyFill="1" applyBorder="1" applyAlignment="1">
      <alignment vertical="center"/>
    </xf>
    <xf numFmtId="0" fontId="4" fillId="43" borderId="7" xfId="0" applyFont="1" applyFill="1" applyBorder="1" applyAlignment="1">
      <alignment horizontal="center" vertical="top" wrapText="1"/>
    </xf>
    <xf numFmtId="0" fontId="4" fillId="14" borderId="8" xfId="0" applyFont="1" applyFill="1" applyBorder="1" applyAlignment="1" applyProtection="1">
      <alignment vertical="top" wrapText="1"/>
      <protection locked="0"/>
    </xf>
    <xf numFmtId="0" fontId="3" fillId="43" borderId="8" xfId="0" applyFont="1" applyFill="1" applyBorder="1" applyAlignment="1">
      <alignment horizontal="center" vertical="center" wrapText="1"/>
    </xf>
    <xf numFmtId="0" fontId="0" fillId="14" borderId="39" xfId="0" applyFill="1" applyBorder="1" applyAlignment="1" applyProtection="1">
      <alignment horizontal="center" vertical="center"/>
      <protection locked="0"/>
    </xf>
    <xf numFmtId="0" fontId="0" fillId="14" borderId="36" xfId="0" applyFill="1" applyBorder="1" applyAlignment="1" applyProtection="1">
      <alignment horizontal="center" vertical="center"/>
      <protection locked="0"/>
    </xf>
    <xf numFmtId="0" fontId="0" fillId="14" borderId="35" xfId="0" applyFill="1" applyBorder="1" applyAlignment="1" applyProtection="1">
      <alignment horizontal="center" vertical="center"/>
      <protection locked="0"/>
    </xf>
    <xf numFmtId="0" fontId="0" fillId="14" borderId="16" xfId="0" applyFill="1" applyBorder="1" applyAlignment="1" applyProtection="1">
      <alignment horizontal="center" vertical="center"/>
      <protection locked="0"/>
    </xf>
    <xf numFmtId="0" fontId="4" fillId="44" borderId="33" xfId="0" applyFont="1" applyFill="1" applyBorder="1" applyAlignment="1">
      <alignment horizontal="center" vertical="top"/>
    </xf>
    <xf numFmtId="0" fontId="4" fillId="43" borderId="33" xfId="0" applyFont="1" applyFill="1" applyBorder="1" applyAlignment="1">
      <alignment horizontal="center" vertical="top"/>
    </xf>
    <xf numFmtId="0" fontId="4" fillId="43" borderId="32" xfId="0" applyFont="1" applyFill="1" applyBorder="1" applyAlignment="1">
      <alignment horizontal="center" vertical="top"/>
    </xf>
    <xf numFmtId="0" fontId="4" fillId="43" borderId="31" xfId="0" applyFont="1" applyFill="1" applyBorder="1" applyAlignment="1">
      <alignment horizontal="center" vertical="top"/>
    </xf>
    <xf numFmtId="0" fontId="4" fillId="44" borderId="6" xfId="0" applyFont="1" applyFill="1" applyBorder="1" applyAlignment="1">
      <alignment horizontal="center" vertical="center"/>
    </xf>
    <xf numFmtId="0" fontId="4" fillId="43" borderId="6" xfId="0" applyFont="1" applyFill="1" applyBorder="1" applyAlignment="1">
      <alignment horizontal="center" vertical="center"/>
    </xf>
    <xf numFmtId="0" fontId="4" fillId="43" borderId="6" xfId="0" applyFont="1" applyFill="1" applyBorder="1" applyAlignment="1">
      <alignment horizontal="center" vertical="top"/>
    </xf>
    <xf numFmtId="0" fontId="4" fillId="45" borderId="7" xfId="0" applyFont="1" applyFill="1" applyBorder="1" applyAlignment="1">
      <alignment horizontal="center" vertical="center"/>
    </xf>
    <xf numFmtId="0" fontId="4" fillId="44" borderId="7" xfId="0" applyFont="1" applyFill="1" applyBorder="1" applyAlignment="1">
      <alignment horizontal="center" vertical="center"/>
    </xf>
    <xf numFmtId="3" fontId="9" fillId="25" borderId="75" xfId="0" applyNumberFormat="1" applyFont="1" applyFill="1" applyBorder="1" applyAlignment="1">
      <alignment horizontal="right" vertical="top" wrapText="1"/>
    </xf>
    <xf numFmtId="0" fontId="7" fillId="0" borderId="13" xfId="0" applyFont="1" applyBorder="1" applyAlignment="1" applyProtection="1">
      <alignment vertical="top" wrapText="1"/>
      <protection locked="0"/>
    </xf>
    <xf numFmtId="0" fontId="7" fillId="0" borderId="12" xfId="0" applyFont="1" applyBorder="1" applyAlignment="1" applyProtection="1">
      <alignment vertical="top" wrapText="1"/>
      <protection locked="0"/>
    </xf>
    <xf numFmtId="44" fontId="39" fillId="9" borderId="0" xfId="4" applyNumberFormat="1" applyFont="1" applyFill="1" applyBorder="1" applyAlignment="1">
      <alignment vertical="center"/>
    </xf>
    <xf numFmtId="44" fontId="39" fillId="9" borderId="0" xfId="12" applyNumberFormat="1" applyFont="1" applyFill="1" applyAlignment="1">
      <alignment vertical="center"/>
    </xf>
    <xf numFmtId="44" fontId="39" fillId="9" borderId="0" xfId="12" applyNumberFormat="1" applyFont="1" applyFill="1" applyAlignment="1">
      <alignment vertical="center" wrapText="1"/>
    </xf>
    <xf numFmtId="44" fontId="39" fillId="9" borderId="0" xfId="12" applyNumberFormat="1" applyFont="1" applyFill="1" applyAlignment="1">
      <alignment horizontal="center" vertical="center"/>
    </xf>
    <xf numFmtId="173" fontId="39" fillId="9" borderId="0" xfId="12" applyNumberFormat="1" applyFont="1" applyFill="1" applyAlignment="1">
      <alignment horizontal="right" vertical="center"/>
    </xf>
    <xf numFmtId="0" fontId="39" fillId="9" borderId="0" xfId="12" applyFont="1" applyFill="1" applyAlignment="1">
      <alignment vertical="center"/>
    </xf>
    <xf numFmtId="170" fontId="39" fillId="9" borderId="0" xfId="12" applyNumberFormat="1" applyFont="1" applyFill="1" applyAlignment="1">
      <alignment vertical="center"/>
    </xf>
    <xf numFmtId="43" fontId="39" fillId="9" borderId="0" xfId="12" applyNumberFormat="1" applyFont="1" applyFill="1" applyAlignment="1">
      <alignment vertical="center"/>
    </xf>
    <xf numFmtId="0" fontId="39" fillId="9" borderId="0" xfId="12" applyFont="1" applyFill="1" applyAlignment="1">
      <alignment vertical="center" wrapText="1"/>
    </xf>
    <xf numFmtId="173" fontId="39" fillId="9" borderId="0" xfId="12" applyNumberFormat="1" applyFont="1" applyFill="1" applyAlignment="1">
      <alignment vertical="center" wrapText="1"/>
    </xf>
    <xf numFmtId="43" fontId="39" fillId="9" borderId="0" xfId="4" applyFont="1" applyFill="1" applyBorder="1" applyAlignment="1">
      <alignment vertical="center"/>
    </xf>
    <xf numFmtId="49" fontId="36" fillId="0" borderId="44" xfId="5" applyNumberFormat="1" applyFont="1" applyBorder="1" applyAlignment="1">
      <alignment horizontal="center" vertical="center" wrapText="1"/>
    </xf>
    <xf numFmtId="49" fontId="36" fillId="0" borderId="42" xfId="5" applyNumberFormat="1" applyFont="1" applyBorder="1" applyAlignment="1">
      <alignment horizontal="center" vertical="center" wrapText="1"/>
    </xf>
    <xf numFmtId="49" fontId="36" fillId="0" borderId="45" xfId="5" applyNumberFormat="1" applyFont="1" applyBorder="1" applyAlignment="1">
      <alignment horizontal="center" vertical="center" wrapText="1"/>
    </xf>
    <xf numFmtId="49" fontId="36" fillId="0" borderId="45" xfId="5" applyNumberFormat="1" applyFont="1" applyBorder="1" applyAlignment="1">
      <alignment horizontal="center" vertical="center"/>
    </xf>
    <xf numFmtId="0" fontId="36" fillId="0" borderId="45" xfId="5" applyFont="1" applyBorder="1" applyAlignment="1">
      <alignment horizontal="center" vertical="center" wrapText="1"/>
    </xf>
    <xf numFmtId="0" fontId="32" fillId="11" borderId="14" xfId="5" applyFill="1" applyBorder="1" applyAlignment="1">
      <alignment horizontal="center"/>
    </xf>
    <xf numFmtId="0" fontId="32" fillId="11" borderId="15" xfId="5" applyFill="1" applyBorder="1" applyAlignment="1">
      <alignment horizontal="center"/>
    </xf>
    <xf numFmtId="0" fontId="21" fillId="11" borderId="15" xfId="5" applyFont="1" applyFill="1" applyBorder="1" applyAlignment="1">
      <alignment horizontal="center"/>
    </xf>
    <xf numFmtId="0" fontId="32" fillId="11" borderId="7" xfId="5" applyFill="1" applyBorder="1" applyAlignment="1">
      <alignment horizontal="center"/>
    </xf>
    <xf numFmtId="0" fontId="34" fillId="0" borderId="2" xfId="5" applyFont="1" applyBorder="1" applyAlignment="1">
      <alignment horizontal="center"/>
    </xf>
    <xf numFmtId="0" fontId="34" fillId="0" borderId="3" xfId="5" applyFont="1" applyBorder="1" applyAlignment="1">
      <alignment horizontal="center"/>
    </xf>
    <xf numFmtId="0" fontId="32" fillId="0" borderId="3" xfId="5" applyBorder="1" applyAlignment="1">
      <alignment horizontal="center"/>
    </xf>
    <xf numFmtId="0" fontId="34" fillId="0" borderId="4" xfId="5" applyFont="1" applyBorder="1" applyAlignment="1">
      <alignment horizontal="center"/>
    </xf>
    <xf numFmtId="0" fontId="34" fillId="0" borderId="9" xfId="5" applyFont="1" applyBorder="1" applyAlignment="1">
      <alignment horizontal="center"/>
    </xf>
    <xf numFmtId="0" fontId="34" fillId="0" borderId="0" xfId="5" applyFont="1" applyAlignment="1">
      <alignment horizontal="center"/>
    </xf>
    <xf numFmtId="0" fontId="32" fillId="0" borderId="0" xfId="5" applyAlignment="1">
      <alignment horizontal="center"/>
    </xf>
    <xf numFmtId="0" fontId="34" fillId="0" borderId="6" xfId="5" applyFont="1" applyBorder="1" applyAlignment="1">
      <alignment horizontal="center"/>
    </xf>
    <xf numFmtId="0" fontId="34" fillId="0" borderId="10" xfId="5" applyFont="1" applyBorder="1" applyAlignment="1">
      <alignment horizontal="center"/>
    </xf>
    <xf numFmtId="0" fontId="34" fillId="0" borderId="11" xfId="5" applyFont="1" applyBorder="1" applyAlignment="1">
      <alignment horizontal="center"/>
    </xf>
    <xf numFmtId="0" fontId="32" fillId="0" borderId="11" xfId="5" applyBorder="1" applyAlignment="1">
      <alignment horizontal="center"/>
    </xf>
    <xf numFmtId="0" fontId="34" fillId="0" borderId="8" xfId="5" applyFont="1" applyBorder="1" applyAlignment="1">
      <alignment horizontal="center"/>
    </xf>
    <xf numFmtId="0" fontId="35" fillId="0" borderId="40" xfId="0" applyFont="1" applyBorder="1" applyAlignment="1">
      <alignment horizontal="center" vertical="center" wrapText="1"/>
    </xf>
    <xf numFmtId="0" fontId="35" fillId="0" borderId="40" xfId="0" applyFont="1" applyBorder="1" applyAlignment="1">
      <alignment horizontal="center" vertical="center"/>
    </xf>
    <xf numFmtId="0" fontId="35" fillId="0" borderId="41" xfId="0" applyFont="1" applyBorder="1" applyAlignment="1">
      <alignment horizontal="center" vertical="center"/>
    </xf>
    <xf numFmtId="49" fontId="37" fillId="0" borderId="42" xfId="5" applyNumberFormat="1" applyFont="1" applyBorder="1" applyAlignment="1">
      <alignment horizontal="center" vertical="center" wrapText="1"/>
    </xf>
    <xf numFmtId="49" fontId="36" fillId="0" borderId="43" xfId="5" applyNumberFormat="1" applyFont="1" applyBorder="1" applyAlignment="1">
      <alignment horizontal="center" vertical="center" wrapText="1"/>
    </xf>
    <xf numFmtId="49" fontId="36" fillId="0" borderId="40" xfId="5" applyNumberFormat="1" applyFont="1" applyBorder="1" applyAlignment="1">
      <alignment horizontal="center" vertical="center" wrapText="1"/>
    </xf>
    <xf numFmtId="49" fontId="36" fillId="0" borderId="41" xfId="5" applyNumberFormat="1" applyFont="1" applyBorder="1" applyAlignment="1">
      <alignment horizontal="center" vertical="center" wrapText="1"/>
    </xf>
    <xf numFmtId="49" fontId="36" fillId="9" borderId="44" xfId="5" applyNumberFormat="1" applyFont="1" applyFill="1" applyBorder="1" applyAlignment="1">
      <alignment horizontal="center" vertical="center" wrapText="1"/>
    </xf>
    <xf numFmtId="49" fontId="36" fillId="9" borderId="42" xfId="5" applyNumberFormat="1" applyFont="1" applyFill="1" applyBorder="1" applyAlignment="1">
      <alignment horizontal="center" vertical="center" wrapText="1"/>
    </xf>
    <xf numFmtId="0" fontId="33" fillId="11" borderId="11" xfId="5" applyFont="1" applyFill="1" applyBorder="1" applyAlignment="1">
      <alignment horizontal="center" vertical="center"/>
    </xf>
    <xf numFmtId="0" fontId="33" fillId="13" borderId="2" xfId="5" applyFont="1" applyFill="1" applyBorder="1" applyAlignment="1">
      <alignment horizontal="center" vertical="center" wrapText="1"/>
    </xf>
    <xf numFmtId="0" fontId="33" fillId="13" borderId="4" xfId="5" applyFont="1" applyFill="1" applyBorder="1" applyAlignment="1">
      <alignment horizontal="center" vertical="center" wrapText="1"/>
    </xf>
    <xf numFmtId="0" fontId="33" fillId="13" borderId="14" xfId="5" applyFont="1" applyFill="1" applyBorder="1" applyAlignment="1">
      <alignment horizontal="center" vertical="center" wrapText="1"/>
    </xf>
    <xf numFmtId="0" fontId="33" fillId="13" borderId="7" xfId="5" applyFont="1" applyFill="1" applyBorder="1" applyAlignment="1">
      <alignment horizontal="center" vertical="center" wrapText="1"/>
    </xf>
    <xf numFmtId="0" fontId="31" fillId="19" borderId="14" xfId="0" applyFont="1" applyFill="1" applyBorder="1" applyAlignment="1">
      <alignment horizontal="center" vertical="center" wrapText="1"/>
    </xf>
    <xf numFmtId="0" fontId="31" fillId="19" borderId="15" xfId="0" applyFont="1" applyFill="1" applyBorder="1" applyAlignment="1">
      <alignment horizontal="center" vertical="center" wrapText="1"/>
    </xf>
    <xf numFmtId="0" fontId="31" fillId="19" borderId="7" xfId="0" applyFont="1" applyFill="1" applyBorder="1" applyAlignment="1">
      <alignment horizontal="center" vertical="center" wrapText="1"/>
    </xf>
    <xf numFmtId="0" fontId="55" fillId="11" borderId="11" xfId="5" applyFont="1" applyFill="1" applyBorder="1" applyAlignment="1">
      <alignment horizontal="center" vertical="center"/>
    </xf>
    <xf numFmtId="0" fontId="55" fillId="13" borderId="2" xfId="5" applyFont="1" applyFill="1" applyBorder="1" applyAlignment="1">
      <alignment horizontal="center" vertical="center" wrapText="1"/>
    </xf>
    <xf numFmtId="0" fontId="55" fillId="13" borderId="67" xfId="5" applyFont="1" applyFill="1" applyBorder="1" applyAlignment="1">
      <alignment horizontal="center" vertical="center" wrapText="1"/>
    </xf>
    <xf numFmtId="0" fontId="55" fillId="13" borderId="14" xfId="5" applyFont="1" applyFill="1" applyBorder="1" applyAlignment="1">
      <alignment horizontal="center" vertical="center" wrapText="1"/>
    </xf>
    <xf numFmtId="0" fontId="55" fillId="13" borderId="7" xfId="5" applyFont="1" applyFill="1" applyBorder="1" applyAlignment="1">
      <alignment horizontal="center" vertical="center" wrapText="1"/>
    </xf>
    <xf numFmtId="0" fontId="33" fillId="24" borderId="52" xfId="0" applyFont="1" applyFill="1" applyBorder="1" applyAlignment="1">
      <alignment horizontal="center" vertical="center" wrapText="1"/>
    </xf>
    <xf numFmtId="0" fontId="33" fillId="24" borderId="53" xfId="0" applyFont="1" applyFill="1" applyBorder="1" applyAlignment="1">
      <alignment horizontal="center" vertical="center" wrapText="1"/>
    </xf>
    <xf numFmtId="0" fontId="33" fillId="24" borderId="56" xfId="0" applyFont="1" applyFill="1" applyBorder="1" applyAlignment="1">
      <alignment horizontal="center" vertical="center" wrapText="1"/>
    </xf>
    <xf numFmtId="0" fontId="33" fillId="24" borderId="61" xfId="0" applyFont="1" applyFill="1" applyBorder="1" applyAlignment="1">
      <alignment horizontal="center" vertical="center" wrapText="1"/>
    </xf>
    <xf numFmtId="0" fontId="33" fillId="24" borderId="62" xfId="0" applyFont="1" applyFill="1" applyBorder="1" applyAlignment="1">
      <alignment horizontal="center" vertical="center" wrapText="1"/>
    </xf>
    <xf numFmtId="0" fontId="33" fillId="24" borderId="57" xfId="0" applyFont="1" applyFill="1" applyBorder="1" applyAlignment="1">
      <alignment horizontal="center" vertical="center" wrapText="1"/>
    </xf>
    <xf numFmtId="0" fontId="33" fillId="24" borderId="58" xfId="0" applyFont="1" applyFill="1" applyBorder="1" applyAlignment="1">
      <alignment horizontal="center" vertical="center" wrapText="1"/>
    </xf>
    <xf numFmtId="0" fontId="33" fillId="24" borderId="59" xfId="0" applyFont="1" applyFill="1" applyBorder="1" applyAlignment="1">
      <alignment horizontal="center" vertical="center" wrapText="1"/>
    </xf>
    <xf numFmtId="0" fontId="30" fillId="0" borderId="47" xfId="0" applyFont="1" applyBorder="1" applyAlignment="1">
      <alignment horizontal="center" vertical="center" wrapText="1"/>
    </xf>
    <xf numFmtId="0" fontId="30" fillId="0" borderId="0" xfId="0" applyFont="1" applyAlignment="1">
      <alignment horizontal="center" vertical="center" wrapText="1"/>
    </xf>
    <xf numFmtId="0" fontId="45" fillId="0" borderId="0" xfId="0" applyFont="1" applyAlignment="1">
      <alignment vertical="center"/>
    </xf>
    <xf numFmtId="0" fontId="33" fillId="20" borderId="47" xfId="0" applyFont="1" applyFill="1" applyBorder="1" applyAlignment="1">
      <alignment horizontal="center" vertical="center" wrapText="1"/>
    </xf>
    <xf numFmtId="0" fontId="33" fillId="20" borderId="0" xfId="0" applyFont="1" applyFill="1" applyAlignment="1">
      <alignment horizontal="center" vertical="center" wrapText="1"/>
    </xf>
    <xf numFmtId="0" fontId="33" fillId="21" borderId="16" xfId="0" applyFont="1" applyFill="1" applyBorder="1" applyAlignment="1">
      <alignment horizontal="center" vertical="center" wrapText="1"/>
    </xf>
    <xf numFmtId="0" fontId="33" fillId="22" borderId="50" xfId="0" applyFont="1" applyFill="1" applyBorder="1" applyAlignment="1">
      <alignment horizontal="center" vertical="center" wrapText="1"/>
    </xf>
    <xf numFmtId="0" fontId="45" fillId="0" borderId="50" xfId="0" applyFont="1" applyBorder="1" applyAlignment="1">
      <alignment vertical="center"/>
    </xf>
    <xf numFmtId="0" fontId="45" fillId="0" borderId="51" xfId="0" applyFont="1" applyBorder="1" applyAlignment="1">
      <alignment vertical="center"/>
    </xf>
    <xf numFmtId="0" fontId="46" fillId="23" borderId="52" xfId="0" applyFont="1" applyFill="1" applyBorder="1" applyAlignment="1">
      <alignment horizontal="center" vertical="center"/>
    </xf>
    <xf numFmtId="0" fontId="46" fillId="23" borderId="53" xfId="0" applyFont="1" applyFill="1" applyBorder="1" applyAlignment="1">
      <alignment horizontal="center" vertical="center"/>
    </xf>
    <xf numFmtId="0" fontId="33" fillId="29" borderId="54" xfId="0" applyFont="1" applyFill="1" applyBorder="1" applyAlignment="1">
      <alignment horizontal="center" vertical="center" wrapText="1"/>
    </xf>
    <xf numFmtId="0" fontId="33" fillId="29" borderId="62" xfId="0" applyFont="1" applyFill="1" applyBorder="1" applyAlignment="1">
      <alignment horizontal="center" vertical="center" wrapText="1"/>
    </xf>
    <xf numFmtId="0" fontId="33" fillId="30" borderId="54" xfId="0" applyFont="1" applyFill="1" applyBorder="1" applyAlignment="1">
      <alignment horizontal="center" vertical="center" wrapText="1"/>
    </xf>
    <xf numFmtId="0" fontId="33" fillId="30" borderId="62" xfId="0" applyFont="1" applyFill="1" applyBorder="1" applyAlignment="1">
      <alignment horizontal="center" vertical="center" wrapText="1"/>
    </xf>
    <xf numFmtId="0" fontId="33" fillId="24" borderId="60" xfId="0" applyFont="1" applyFill="1" applyBorder="1" applyAlignment="1">
      <alignment horizontal="center" vertical="center" wrapText="1"/>
    </xf>
    <xf numFmtId="0" fontId="30" fillId="0" borderId="54" xfId="0" applyFont="1" applyBorder="1" applyAlignment="1">
      <alignment horizontal="left" vertical="center" wrapText="1"/>
    </xf>
    <xf numFmtId="0" fontId="30" fillId="0" borderId="62" xfId="0" applyFont="1" applyBorder="1" applyAlignment="1">
      <alignment horizontal="left" vertical="center" wrapText="1"/>
    </xf>
    <xf numFmtId="0" fontId="49" fillId="21" borderId="52" xfId="0" applyFont="1" applyFill="1" applyBorder="1" applyAlignment="1">
      <alignment horizontal="center" vertical="center" wrapText="1"/>
    </xf>
    <xf numFmtId="0" fontId="49" fillId="21" borderId="53" xfId="0" applyFont="1" applyFill="1" applyBorder="1" applyAlignment="1">
      <alignment horizontal="center" vertical="center" wrapText="1"/>
    </xf>
    <xf numFmtId="0" fontId="49" fillId="21" borderId="56" xfId="0" applyFont="1" applyFill="1" applyBorder="1" applyAlignment="1">
      <alignment horizontal="center" vertical="center" wrapText="1"/>
    </xf>
    <xf numFmtId="0" fontId="33" fillId="25" borderId="52" xfId="0" applyFont="1" applyFill="1" applyBorder="1" applyAlignment="1">
      <alignment horizontal="center" vertical="center" wrapText="1"/>
    </xf>
    <xf numFmtId="0" fontId="33" fillId="25" borderId="53" xfId="0" applyFont="1" applyFill="1" applyBorder="1" applyAlignment="1">
      <alignment horizontal="center" vertical="center" wrapText="1"/>
    </xf>
    <xf numFmtId="0" fontId="33" fillId="25" borderId="56" xfId="0" applyFont="1" applyFill="1" applyBorder="1" applyAlignment="1">
      <alignment horizontal="center" vertical="center" wrapText="1"/>
    </xf>
    <xf numFmtId="0" fontId="33" fillId="26" borderId="63" xfId="0" applyFont="1" applyFill="1" applyBorder="1" applyAlignment="1">
      <alignment horizontal="center" vertical="center" wrapText="1"/>
    </xf>
    <xf numFmtId="0" fontId="33" fillId="26" borderId="64" xfId="0" applyFont="1" applyFill="1" applyBorder="1" applyAlignment="1">
      <alignment horizontal="center" vertical="center" wrapText="1"/>
    </xf>
    <xf numFmtId="0" fontId="33" fillId="26" borderId="65" xfId="0" applyFont="1" applyFill="1" applyBorder="1" applyAlignment="1">
      <alignment horizontal="center" vertical="center" wrapText="1"/>
    </xf>
    <xf numFmtId="0" fontId="33" fillId="26" borderId="49" xfId="0" applyFont="1" applyFill="1" applyBorder="1" applyAlignment="1">
      <alignment horizontal="center" vertical="center" wrapText="1"/>
    </xf>
    <xf numFmtId="0" fontId="33" fillId="26" borderId="50" xfId="0" applyFont="1" applyFill="1" applyBorder="1" applyAlignment="1">
      <alignment horizontal="center" vertical="center" wrapText="1"/>
    </xf>
    <xf numFmtId="0" fontId="33" fillId="26" borderId="51" xfId="0" applyFont="1" applyFill="1" applyBorder="1" applyAlignment="1">
      <alignment horizontal="center" vertical="center" wrapText="1"/>
    </xf>
    <xf numFmtId="44" fontId="33" fillId="26" borderId="49" xfId="11" applyFont="1" applyFill="1" applyBorder="1" applyAlignment="1">
      <alignment horizontal="center" vertical="center" wrapText="1"/>
    </xf>
    <xf numFmtId="44" fontId="33" fillId="26" borderId="50" xfId="11" applyFont="1" applyFill="1" applyBorder="1" applyAlignment="1">
      <alignment horizontal="center" vertical="center" wrapText="1"/>
    </xf>
    <xf numFmtId="44" fontId="33" fillId="26" borderId="51" xfId="11" applyFont="1" applyFill="1" applyBorder="1" applyAlignment="1">
      <alignment horizontal="center" vertical="center" wrapText="1"/>
    </xf>
    <xf numFmtId="10" fontId="33" fillId="27" borderId="63" xfId="0" applyNumberFormat="1" applyFont="1" applyFill="1" applyBorder="1" applyAlignment="1">
      <alignment horizontal="center" vertical="center" wrapText="1"/>
    </xf>
    <xf numFmtId="10" fontId="33" fillId="27" borderId="64" xfId="0" applyNumberFormat="1" applyFont="1" applyFill="1" applyBorder="1" applyAlignment="1">
      <alignment horizontal="center" vertical="center" wrapText="1"/>
    </xf>
    <xf numFmtId="10" fontId="33" fillId="27" borderId="65" xfId="0" applyNumberFormat="1" applyFont="1" applyFill="1" applyBorder="1" applyAlignment="1">
      <alignment horizontal="center" vertical="center" wrapText="1"/>
    </xf>
    <xf numFmtId="3" fontId="30" fillId="0" borderId="54" xfId="0" applyNumberFormat="1" applyFont="1" applyBorder="1" applyAlignment="1">
      <alignment vertical="center" wrapText="1"/>
    </xf>
    <xf numFmtId="3" fontId="30" fillId="0" borderId="62" xfId="0" applyNumberFormat="1" applyFont="1" applyBorder="1" applyAlignment="1">
      <alignment vertical="center" wrapText="1"/>
    </xf>
    <xf numFmtId="0" fontId="33" fillId="21" borderId="54" xfId="0" applyFont="1" applyFill="1" applyBorder="1" applyAlignment="1">
      <alignment horizontal="center" vertical="center" wrapText="1"/>
    </xf>
    <xf numFmtId="0" fontId="33" fillId="21" borderId="62" xfId="0" applyFont="1" applyFill="1" applyBorder="1" applyAlignment="1">
      <alignment horizontal="center" vertical="center" wrapText="1"/>
    </xf>
    <xf numFmtId="0" fontId="33" fillId="24" borderId="54" xfId="0" applyFont="1" applyFill="1" applyBorder="1" applyAlignment="1">
      <alignment horizontal="center" vertical="center" wrapText="1"/>
    </xf>
    <xf numFmtId="0" fontId="33" fillId="24" borderId="55" xfId="0" applyFont="1" applyFill="1" applyBorder="1" applyAlignment="1">
      <alignment horizontal="center" vertical="center" wrapText="1"/>
    </xf>
    <xf numFmtId="0" fontId="33" fillId="28" borderId="63" xfId="0" applyFont="1" applyFill="1" applyBorder="1" applyAlignment="1">
      <alignment horizontal="center" vertical="center" wrapText="1"/>
    </xf>
    <xf numFmtId="0" fontId="33" fillId="28" borderId="64" xfId="0" applyFont="1" applyFill="1" applyBorder="1" applyAlignment="1">
      <alignment horizontal="center" vertical="center" wrapText="1"/>
    </xf>
    <xf numFmtId="0" fontId="33" fillId="28" borderId="65" xfId="0" applyFont="1" applyFill="1" applyBorder="1" applyAlignment="1">
      <alignment horizontal="center" vertical="center" wrapText="1"/>
    </xf>
    <xf numFmtId="49" fontId="31" fillId="40" borderId="37" xfId="12" quotePrefix="1" applyNumberFormat="1" applyFont="1" applyFill="1" applyBorder="1" applyAlignment="1">
      <alignment horizontal="center" vertical="center" wrapText="1"/>
    </xf>
    <xf numFmtId="49" fontId="31" fillId="40" borderId="30" xfId="12" quotePrefix="1" applyNumberFormat="1" applyFont="1" applyFill="1" applyBorder="1" applyAlignment="1">
      <alignment horizontal="center" vertical="center" wrapText="1"/>
    </xf>
    <xf numFmtId="49" fontId="31" fillId="41" borderId="16" xfId="12" quotePrefix="1" applyNumberFormat="1" applyFont="1" applyFill="1" applyBorder="1" applyAlignment="1">
      <alignment horizontal="center" vertical="center" wrapText="1"/>
    </xf>
    <xf numFmtId="0" fontId="31" fillId="41" borderId="37" xfId="12" applyFont="1" applyFill="1" applyBorder="1" applyAlignment="1">
      <alignment horizontal="center" vertical="center"/>
    </xf>
    <xf numFmtId="0" fontId="31" fillId="41" borderId="30" xfId="12" applyFont="1" applyFill="1" applyBorder="1" applyAlignment="1">
      <alignment horizontal="center" vertical="center"/>
    </xf>
    <xf numFmtId="44" fontId="30" fillId="38" borderId="37" xfId="0" applyNumberFormat="1" applyFont="1" applyFill="1" applyBorder="1" applyAlignment="1">
      <alignment horizontal="center" vertical="center"/>
    </xf>
    <xf numFmtId="44" fontId="30" fillId="38" borderId="73" xfId="0" applyNumberFormat="1" applyFont="1" applyFill="1" applyBorder="1" applyAlignment="1">
      <alignment horizontal="center" vertical="center"/>
    </xf>
    <xf numFmtId="44" fontId="30" fillId="38" borderId="30" xfId="0" applyNumberFormat="1" applyFont="1" applyFill="1" applyBorder="1" applyAlignment="1">
      <alignment horizontal="center" vertical="center"/>
    </xf>
    <xf numFmtId="44" fontId="30" fillId="10" borderId="37" xfId="0" applyNumberFormat="1" applyFont="1" applyFill="1" applyBorder="1" applyAlignment="1">
      <alignment horizontal="center" vertical="center"/>
    </xf>
    <xf numFmtId="44" fontId="30" fillId="10" borderId="30" xfId="0" applyNumberFormat="1" applyFont="1" applyFill="1" applyBorder="1" applyAlignment="1">
      <alignment horizontal="center" vertical="center"/>
    </xf>
    <xf numFmtId="44" fontId="30" fillId="38" borderId="16" xfId="0" applyNumberFormat="1" applyFont="1" applyFill="1" applyBorder="1" applyAlignment="1">
      <alignment horizontal="center" vertical="center"/>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7" xfId="0" applyFont="1" applyBorder="1" applyAlignment="1">
      <alignment horizontal="center" vertical="center" wrapText="1"/>
    </xf>
    <xf numFmtId="0" fontId="31" fillId="19" borderId="14" xfId="0" applyFont="1" applyFill="1" applyBorder="1" applyAlignment="1">
      <alignment horizontal="left" vertical="center" wrapText="1"/>
    </xf>
    <xf numFmtId="0" fontId="31" fillId="19" borderId="15" xfId="0" applyFont="1" applyFill="1" applyBorder="1" applyAlignment="1">
      <alignment horizontal="left" vertical="center" wrapText="1"/>
    </xf>
    <xf numFmtId="0" fontId="31" fillId="19" borderId="7" xfId="0" applyFont="1" applyFill="1" applyBorder="1" applyAlignment="1">
      <alignment horizontal="left" vertical="center" wrapText="1"/>
    </xf>
    <xf numFmtId="0" fontId="31" fillId="19" borderId="14" xfId="5" applyFont="1" applyFill="1" applyBorder="1" applyAlignment="1">
      <alignment horizontal="left" vertical="center" wrapText="1"/>
    </xf>
    <xf numFmtId="0" fontId="31" fillId="19" borderId="15" xfId="5" applyFont="1" applyFill="1" applyBorder="1" applyAlignment="1">
      <alignment horizontal="left" vertical="center" wrapText="1"/>
    </xf>
    <xf numFmtId="0" fontId="31" fillId="19" borderId="14" xfId="5" applyFont="1" applyFill="1" applyBorder="1" applyAlignment="1">
      <alignment horizontal="center" vertical="center" wrapText="1"/>
    </xf>
    <xf numFmtId="0" fontId="31" fillId="19" borderId="15" xfId="5" applyFont="1" applyFill="1" applyBorder="1" applyAlignment="1">
      <alignment horizontal="center" vertical="center" wrapText="1"/>
    </xf>
    <xf numFmtId="0" fontId="31" fillId="19" borderId="7" xfId="5" applyFont="1" applyFill="1" applyBorder="1" applyAlignment="1">
      <alignment horizontal="center" vertical="center"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0" borderId="13" xfId="0" applyFont="1" applyBorder="1" applyAlignment="1">
      <alignment horizontal="lef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8"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3" fillId="0" borderId="9" xfId="0" applyFont="1" applyBorder="1" applyAlignment="1">
      <alignment vertical="top" wrapText="1"/>
    </xf>
    <xf numFmtId="0" fontId="3" fillId="0" borderId="0" xfId="0" applyFont="1" applyAlignment="1">
      <alignment vertical="top" wrapText="1"/>
    </xf>
    <xf numFmtId="0" fontId="3" fillId="0" borderId="6" xfId="0" applyFont="1" applyBorder="1" applyAlignment="1">
      <alignment vertical="top" wrapText="1"/>
    </xf>
    <xf numFmtId="0" fontId="4" fillId="0" borderId="9" xfId="0" applyFont="1" applyBorder="1" applyAlignment="1">
      <alignment vertical="top" wrapText="1"/>
    </xf>
    <xf numFmtId="0" fontId="4" fillId="0" borderId="0" xfId="0" applyFont="1" applyAlignment="1">
      <alignment vertical="top" wrapText="1"/>
    </xf>
    <xf numFmtId="0" fontId="4" fillId="0" borderId="6"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9" fillId="0" borderId="9" xfId="0" applyFont="1" applyBorder="1" applyAlignment="1">
      <alignment vertical="top" wrapText="1"/>
    </xf>
    <xf numFmtId="0" fontId="9" fillId="0" borderId="0" xfId="0" applyFont="1" applyAlignment="1">
      <alignment vertical="top" wrapText="1"/>
    </xf>
    <xf numFmtId="0" fontId="9" fillId="0" borderId="6" xfId="0" applyFont="1" applyBorder="1" applyAlignment="1">
      <alignment vertical="top" wrapText="1"/>
    </xf>
    <xf numFmtId="0" fontId="12" fillId="0" borderId="14" xfId="0" applyFont="1" applyBorder="1" applyAlignment="1">
      <alignment vertical="top" wrapText="1"/>
    </xf>
    <xf numFmtId="0" fontId="12" fillId="0" borderId="15" xfId="0" applyFont="1" applyBorder="1" applyAlignment="1">
      <alignment vertical="top" wrapText="1"/>
    </xf>
    <xf numFmtId="0" fontId="12" fillId="0" borderId="7" xfId="0" applyFont="1" applyBorder="1" applyAlignment="1">
      <alignment vertical="top" wrapText="1"/>
    </xf>
    <xf numFmtId="0" fontId="4" fillId="0" borderId="1" xfId="0" applyFont="1" applyBorder="1" applyAlignment="1">
      <alignment vertical="top" wrapText="1"/>
    </xf>
    <xf numFmtId="0" fontId="4" fillId="0" borderId="5" xfId="0" applyFont="1" applyBorder="1" applyAlignment="1">
      <alignment vertical="top" wrapText="1"/>
    </xf>
    <xf numFmtId="0" fontId="4" fillId="0" borderId="13" xfId="0" applyFont="1" applyBorder="1" applyAlignment="1">
      <alignment vertical="top" wrapText="1"/>
    </xf>
    <xf numFmtId="0" fontId="3" fillId="3" borderId="16" xfId="0" applyFont="1" applyFill="1" applyBorder="1" applyAlignment="1" applyProtection="1">
      <alignment horizontal="center" vertical="top" wrapText="1"/>
      <protection locked="0"/>
    </xf>
    <xf numFmtId="9" fontId="4" fillId="4" borderId="14" xfId="0" applyNumberFormat="1" applyFont="1" applyFill="1" applyBorder="1" applyAlignment="1">
      <alignment horizontal="right" vertical="top"/>
    </xf>
    <xf numFmtId="9" fontId="4" fillId="4" borderId="7" xfId="0" applyNumberFormat="1" applyFont="1" applyFill="1" applyBorder="1" applyAlignment="1">
      <alignment horizontal="right" vertical="top"/>
    </xf>
    <xf numFmtId="9" fontId="3" fillId="0" borderId="2" xfId="0" applyNumberFormat="1" applyFont="1" applyBorder="1" applyAlignment="1">
      <alignment vertical="top" wrapText="1"/>
    </xf>
    <xf numFmtId="9" fontId="3" fillId="0" borderId="3" xfId="0" applyNumberFormat="1" applyFont="1" applyBorder="1" applyAlignment="1">
      <alignment vertical="top" wrapText="1"/>
    </xf>
    <xf numFmtId="9" fontId="3" fillId="0" borderId="4" xfId="0" applyNumberFormat="1"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7"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8"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8" xfId="0" applyFont="1"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0" fillId="0" borderId="27" xfId="0" applyBorder="1" applyAlignment="1" applyProtection="1">
      <alignment horizontal="left" vertical="top"/>
      <protection hidden="1"/>
    </xf>
    <xf numFmtId="0" fontId="0" fillId="0" borderId="0" xfId="0" applyAlignment="1" applyProtection="1">
      <alignment horizontal="left" vertical="top"/>
      <protection hidden="1"/>
    </xf>
    <xf numFmtId="0" fontId="31" fillId="12" borderId="14" xfId="0" applyFont="1" applyFill="1" applyBorder="1" applyAlignment="1">
      <alignment horizontal="left" vertical="center" wrapText="1"/>
    </xf>
    <xf numFmtId="0" fontId="31" fillId="12" borderId="15" xfId="0" applyFont="1" applyFill="1" applyBorder="1" applyAlignment="1">
      <alignment horizontal="left" vertical="center" wrapText="1"/>
    </xf>
    <xf numFmtId="0" fontId="31" fillId="12" borderId="7" xfId="0" applyFont="1" applyFill="1" applyBorder="1" applyAlignment="1">
      <alignment horizontal="left" vertical="center" wrapText="1"/>
    </xf>
    <xf numFmtId="0" fontId="30" fillId="11" borderId="14" xfId="0" applyFont="1" applyFill="1" applyBorder="1" applyAlignment="1">
      <alignment horizontal="center" vertical="center" wrapText="1"/>
    </xf>
    <xf numFmtId="0" fontId="30" fillId="11" borderId="15" xfId="0" applyFont="1" applyFill="1" applyBorder="1" applyAlignment="1">
      <alignment horizontal="center" vertical="center" wrapText="1"/>
    </xf>
    <xf numFmtId="0" fontId="30" fillId="11" borderId="7" xfId="0" applyFont="1" applyFill="1" applyBorder="1" applyAlignment="1">
      <alignment horizontal="center" vertical="center" wrapText="1"/>
    </xf>
    <xf numFmtId="0" fontId="31" fillId="12" borderId="14" xfId="5" applyFont="1" applyFill="1" applyBorder="1" applyAlignment="1">
      <alignment horizontal="center" vertical="center" wrapText="1"/>
    </xf>
    <xf numFmtId="0" fontId="31" fillId="12" borderId="15" xfId="5" applyFont="1" applyFill="1" applyBorder="1" applyAlignment="1">
      <alignment horizontal="center" vertical="center" wrapText="1"/>
    </xf>
    <xf numFmtId="0" fontId="31" fillId="12" borderId="7" xfId="5" applyFont="1" applyFill="1" applyBorder="1" applyAlignment="1">
      <alignment horizontal="center" vertical="center" wrapText="1"/>
    </xf>
    <xf numFmtId="0" fontId="31" fillId="12" borderId="14" xfId="5" applyFont="1" applyFill="1" applyBorder="1" applyAlignment="1">
      <alignment horizontal="left" vertical="center" wrapText="1"/>
    </xf>
    <xf numFmtId="0" fontId="31" fillId="12" borderId="15" xfId="5" applyFont="1" applyFill="1" applyBorder="1" applyAlignment="1">
      <alignment horizontal="left" vertical="center" wrapText="1"/>
    </xf>
    <xf numFmtId="0" fontId="4" fillId="0" borderId="0" xfId="0" applyFont="1" applyAlignment="1">
      <alignment horizontal="right" vertical="top" wrapText="1"/>
    </xf>
    <xf numFmtId="0" fontId="0" fillId="0" borderId="2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3" borderId="18" xfId="0" applyFont="1" applyFill="1" applyBorder="1" applyAlignment="1" applyProtection="1">
      <alignment horizontal="left" vertical="top" wrapText="1"/>
      <protection locked="0"/>
    </xf>
    <xf numFmtId="0" fontId="14" fillId="3" borderId="19" xfId="0" applyFont="1" applyFill="1" applyBorder="1" applyAlignment="1" applyProtection="1">
      <alignment horizontal="left" vertical="top" wrapText="1"/>
      <protection locked="0"/>
    </xf>
    <xf numFmtId="0" fontId="14" fillId="3" borderId="20" xfId="0" applyFont="1" applyFill="1" applyBorder="1" applyAlignment="1" applyProtection="1">
      <alignment horizontal="left" vertical="top" wrapText="1"/>
      <protection locked="0"/>
    </xf>
    <xf numFmtId="0" fontId="3" fillId="3" borderId="18"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0" xfId="0" applyFont="1" applyFill="1" applyBorder="1" applyAlignment="1" applyProtection="1">
      <alignment horizontal="left" vertical="top" wrapText="1"/>
      <protection locked="0"/>
    </xf>
    <xf numFmtId="0" fontId="3" fillId="3" borderId="18" xfId="0" applyFont="1" applyFill="1" applyBorder="1" applyAlignment="1" applyProtection="1">
      <alignment horizontal="center" vertical="top" wrapText="1"/>
      <protection locked="0"/>
    </xf>
    <xf numFmtId="0" fontId="3" fillId="3" borderId="19" xfId="0" applyFont="1" applyFill="1" applyBorder="1" applyAlignment="1" applyProtection="1">
      <alignment horizontal="center" vertical="top" wrapText="1"/>
      <protection locked="0"/>
    </xf>
    <xf numFmtId="0" fontId="3" fillId="3" borderId="20" xfId="0" applyFont="1" applyFill="1" applyBorder="1" applyAlignment="1" applyProtection="1">
      <alignment horizontal="center" vertical="top" wrapText="1"/>
      <protection locked="0"/>
    </xf>
    <xf numFmtId="0" fontId="3" fillId="3" borderId="21" xfId="0" applyFont="1" applyFill="1" applyBorder="1" applyAlignment="1" applyProtection="1">
      <alignment horizontal="center" vertical="top" wrapText="1"/>
      <protection locked="0"/>
    </xf>
    <xf numFmtId="0" fontId="3" fillId="3" borderId="22" xfId="0" applyFont="1" applyFill="1" applyBorder="1" applyAlignment="1" applyProtection="1">
      <alignment horizontal="center" vertical="top" wrapText="1"/>
      <protection locked="0"/>
    </xf>
    <xf numFmtId="0" fontId="3" fillId="3" borderId="23" xfId="0" applyFont="1" applyFill="1" applyBorder="1" applyAlignment="1" applyProtection="1">
      <alignment horizontal="center" vertical="top" wrapText="1"/>
      <protection locked="0"/>
    </xf>
    <xf numFmtId="0" fontId="3" fillId="3" borderId="24" xfId="0" applyFont="1" applyFill="1" applyBorder="1" applyAlignment="1" applyProtection="1">
      <alignment horizontal="center" vertical="top" wrapText="1"/>
      <protection locked="0"/>
    </xf>
    <xf numFmtId="0" fontId="3" fillId="3" borderId="25" xfId="0" applyFont="1" applyFill="1" applyBorder="1" applyAlignment="1" applyProtection="1">
      <alignment horizontal="center" vertical="top" wrapText="1"/>
      <protection locked="0"/>
    </xf>
    <xf numFmtId="0" fontId="3" fillId="3" borderId="26" xfId="0" applyFont="1" applyFill="1" applyBorder="1" applyAlignment="1" applyProtection="1">
      <alignment horizontal="center" vertical="top" wrapText="1"/>
      <protection locked="0"/>
    </xf>
    <xf numFmtId="0" fontId="4" fillId="3" borderId="14"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17" fillId="3" borderId="14" xfId="2" applyFill="1" applyBorder="1" applyAlignment="1" applyProtection="1">
      <alignment vertical="center"/>
      <protection locked="0"/>
    </xf>
    <xf numFmtId="0" fontId="17" fillId="3" borderId="7" xfId="2" applyFill="1" applyBorder="1" applyAlignment="1" applyProtection="1">
      <alignment vertical="center"/>
      <protection locked="0"/>
    </xf>
    <xf numFmtId="0" fontId="4" fillId="3" borderId="14"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0" fontId="4" fillId="5" borderId="14" xfId="0" applyFont="1" applyFill="1" applyBorder="1" applyAlignment="1" applyProtection="1">
      <alignment vertical="top" wrapText="1"/>
      <protection locked="0"/>
    </xf>
    <xf numFmtId="0" fontId="4" fillId="5" borderId="7" xfId="0" applyFont="1" applyFill="1" applyBorder="1" applyAlignment="1" applyProtection="1">
      <alignment vertical="top" wrapText="1"/>
      <protection locked="0"/>
    </xf>
    <xf numFmtId="0" fontId="4" fillId="3" borderId="14" xfId="0" applyFont="1" applyFill="1" applyBorder="1" applyAlignment="1" applyProtection="1">
      <alignment vertical="top"/>
      <protection locked="0"/>
    </xf>
    <xf numFmtId="0" fontId="4" fillId="3" borderId="7" xfId="0" applyFont="1" applyFill="1" applyBorder="1" applyAlignment="1" applyProtection="1">
      <alignment vertical="top"/>
      <protection locked="0"/>
    </xf>
    <xf numFmtId="0" fontId="3" fillId="3" borderId="9" xfId="0" applyFont="1" applyFill="1" applyBorder="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17" fontId="4" fillId="0" borderId="14" xfId="0" applyNumberFormat="1" applyFont="1" applyBorder="1" applyAlignment="1">
      <alignment vertical="top" wrapText="1"/>
    </xf>
    <xf numFmtId="17" fontId="4" fillId="0" borderId="15" xfId="0" applyNumberFormat="1" applyFont="1" applyBorder="1" applyAlignment="1">
      <alignment vertical="top" wrapText="1"/>
    </xf>
    <xf numFmtId="17" fontId="4" fillId="0" borderId="7" xfId="0" applyNumberFormat="1" applyFont="1" applyBorder="1" applyAlignment="1">
      <alignment vertical="top" wrapText="1"/>
    </xf>
    <xf numFmtId="0" fontId="3" fillId="0" borderId="14" xfId="0" applyFont="1" applyBorder="1" applyAlignment="1">
      <alignment vertical="top" wrapText="1"/>
    </xf>
    <xf numFmtId="0" fontId="3" fillId="0" borderId="7" xfId="0" applyFont="1" applyBorder="1" applyAlignment="1">
      <alignment vertical="top" wrapText="1"/>
    </xf>
    <xf numFmtId="0" fontId="4" fillId="0" borderId="29" xfId="0" applyFont="1" applyBorder="1" applyAlignment="1">
      <alignment horizontal="left" vertical="top" wrapText="1"/>
    </xf>
    <xf numFmtId="0" fontId="4" fillId="0" borderId="4" xfId="0" applyFont="1" applyBorder="1" applyAlignment="1">
      <alignment horizontal="center" vertical="top" wrapText="1"/>
    </xf>
    <xf numFmtId="0" fontId="4" fillId="0" borderId="8" xfId="0" applyFont="1" applyBorder="1" applyAlignment="1">
      <alignment horizontal="center" vertical="top" wrapText="1"/>
    </xf>
    <xf numFmtId="0" fontId="4" fillId="0" borderId="1" xfId="0" applyFont="1" applyBorder="1" applyAlignment="1">
      <alignment horizontal="center" vertical="top"/>
    </xf>
    <xf numFmtId="0" fontId="4" fillId="0" borderId="13" xfId="0" applyFont="1" applyBorder="1" applyAlignment="1">
      <alignment horizontal="center" vertical="top"/>
    </xf>
    <xf numFmtId="0" fontId="4" fillId="0" borderId="1" xfId="0" applyFont="1" applyBorder="1" applyAlignment="1">
      <alignment horizontal="center" vertical="top" wrapText="1"/>
    </xf>
    <xf numFmtId="0" fontId="4" fillId="0" borderId="13" xfId="0" applyFont="1" applyBorder="1" applyAlignment="1">
      <alignment horizontal="center" vertical="top" wrapText="1"/>
    </xf>
    <xf numFmtId="0" fontId="27" fillId="0" borderId="9" xfId="0" applyFont="1" applyBorder="1" applyAlignment="1">
      <alignment vertical="top" wrapText="1"/>
    </xf>
    <xf numFmtId="0" fontId="27" fillId="0" borderId="0" xfId="0" applyFont="1" applyAlignment="1">
      <alignment vertical="top" wrapText="1"/>
    </xf>
    <xf numFmtId="0" fontId="27" fillId="0" borderId="6" xfId="0" applyFont="1" applyBorder="1" applyAlignment="1">
      <alignment vertical="top" wrapText="1"/>
    </xf>
    <xf numFmtId="0" fontId="4" fillId="3" borderId="9" xfId="0" applyFont="1" applyFill="1" applyBorder="1" applyAlignment="1">
      <alignment horizontal="left" vertical="top" wrapText="1"/>
    </xf>
    <xf numFmtId="0" fontId="4" fillId="3" borderId="0" xfId="0" applyFont="1" applyFill="1" applyAlignment="1">
      <alignment horizontal="left" vertical="top" wrapText="1"/>
    </xf>
    <xf numFmtId="0" fontId="4" fillId="3" borderId="9" xfId="0" applyFont="1" applyFill="1" applyBorder="1" applyAlignment="1" applyProtection="1">
      <alignment horizontal="left" vertical="top" wrapText="1"/>
      <protection locked="0"/>
    </xf>
    <xf numFmtId="0" fontId="4" fillId="3" borderId="0" xfId="0" applyFont="1" applyFill="1" applyAlignment="1" applyProtection="1">
      <alignment horizontal="left" vertical="top" wrapText="1"/>
      <protection locked="0"/>
    </xf>
    <xf numFmtId="0" fontId="8" fillId="0" borderId="1" xfId="0" applyFont="1" applyBorder="1" applyAlignment="1">
      <alignment horizontal="center" vertical="top"/>
    </xf>
    <xf numFmtId="0" fontId="8" fillId="0" borderId="13" xfId="0" applyFont="1" applyBorder="1" applyAlignment="1">
      <alignment horizontal="center" vertical="top"/>
    </xf>
    <xf numFmtId="0" fontId="8" fillId="0" borderId="1" xfId="0" applyFont="1" applyBorder="1" applyAlignment="1">
      <alignment horizontal="center" vertical="top" wrapText="1"/>
    </xf>
    <xf numFmtId="0" fontId="8" fillId="0" borderId="13" xfId="0" applyFont="1" applyBorder="1" applyAlignment="1">
      <alignment horizontal="center" vertical="top" wrapText="1"/>
    </xf>
    <xf numFmtId="0" fontId="4" fillId="0" borderId="9" xfId="0" applyFont="1" applyBorder="1" applyAlignment="1">
      <alignment horizontal="left" vertical="top" wrapText="1"/>
    </xf>
    <xf numFmtId="0" fontId="4" fillId="0" borderId="0" xfId="0" applyFont="1" applyAlignment="1">
      <alignment horizontal="left" vertical="top" wrapText="1"/>
    </xf>
    <xf numFmtId="0" fontId="4" fillId="0" borderId="29" xfId="0" applyFont="1" applyBorder="1" applyAlignment="1">
      <alignment vertical="top" wrapText="1"/>
    </xf>
    <xf numFmtId="0" fontId="8" fillId="0" borderId="16" xfId="0" applyFont="1" applyBorder="1" applyAlignment="1">
      <alignment horizontal="center" vertical="top" wrapText="1"/>
    </xf>
    <xf numFmtId="0" fontId="4" fillId="0" borderId="29" xfId="0" applyFont="1" applyBorder="1" applyAlignment="1">
      <alignment horizontal="center" vertical="top" wrapText="1"/>
    </xf>
    <xf numFmtId="0" fontId="4" fillId="0" borderId="5" xfId="0" applyFont="1" applyBorder="1" applyAlignment="1">
      <alignment horizontal="center" vertical="top" wrapText="1"/>
    </xf>
    <xf numFmtId="0" fontId="8" fillId="0" borderId="1" xfId="0" applyFont="1" applyBorder="1" applyAlignment="1">
      <alignment vertical="top" wrapText="1"/>
    </xf>
    <xf numFmtId="0" fontId="8" fillId="0" borderId="13" xfId="0" applyFont="1" applyBorder="1" applyAlignment="1">
      <alignment vertical="top" wrapText="1"/>
    </xf>
    <xf numFmtId="0" fontId="8" fillId="0" borderId="4" xfId="0" applyFont="1" applyBorder="1" applyAlignment="1">
      <alignment horizontal="center" vertical="top" wrapText="1"/>
    </xf>
    <xf numFmtId="0" fontId="8" fillId="0" borderId="8" xfId="0" applyFont="1" applyBorder="1" applyAlignment="1">
      <alignment horizontal="center" vertical="top" wrapText="1"/>
    </xf>
    <xf numFmtId="0" fontId="3" fillId="3" borderId="21" xfId="0" applyFont="1" applyFill="1" applyBorder="1" applyAlignment="1">
      <alignment horizontal="left" vertical="top" wrapText="1"/>
    </xf>
    <xf numFmtId="0" fontId="3" fillId="3" borderId="22" xfId="0" applyFont="1" applyFill="1" applyBorder="1" applyAlignment="1">
      <alignment horizontal="left" vertical="top" wrapText="1"/>
    </xf>
    <xf numFmtId="0" fontId="3" fillId="3" borderId="23"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3" borderId="0" xfId="0" applyFont="1" applyFill="1" applyAlignment="1">
      <alignment horizontal="left" vertical="top" wrapText="1"/>
    </xf>
    <xf numFmtId="0" fontId="3" fillId="3" borderId="28" xfId="0" applyFont="1" applyFill="1" applyBorder="1" applyAlignment="1">
      <alignment horizontal="left" vertical="top"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3"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3" fillId="0" borderId="0" xfId="0" applyFont="1" applyAlignment="1">
      <alignment horizontal="left" vertical="center" wrapText="1"/>
    </xf>
    <xf numFmtId="0" fontId="4" fillId="0" borderId="14" xfId="0" applyFont="1" applyBorder="1" applyAlignment="1">
      <alignment vertical="top"/>
    </xf>
    <xf numFmtId="0" fontId="4" fillId="0" borderId="15"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0" applyFont="1" applyBorder="1" applyAlignment="1">
      <alignment vertical="top" wrapText="1"/>
    </xf>
    <xf numFmtId="0" fontId="4" fillId="0" borderId="15" xfId="0" applyFont="1" applyBorder="1" applyAlignment="1">
      <alignment vertical="top"/>
    </xf>
    <xf numFmtId="0" fontId="4" fillId="0" borderId="7" xfId="0" applyFont="1" applyBorder="1" applyAlignment="1">
      <alignment vertical="top"/>
    </xf>
    <xf numFmtId="0" fontId="8" fillId="0" borderId="5" xfId="0" applyFont="1" applyBorder="1" applyAlignment="1">
      <alignment vertical="top"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3" fillId="3" borderId="9"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4" fillId="3" borderId="21" xfId="0" applyFont="1" applyFill="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4" fillId="3" borderId="23" xfId="0" applyFont="1" applyFill="1" applyBorder="1" applyAlignment="1" applyProtection="1">
      <alignment horizontal="left" vertical="top" wrapText="1"/>
      <protection locked="0"/>
    </xf>
    <xf numFmtId="0" fontId="4" fillId="3" borderId="24" xfId="0" applyFont="1" applyFill="1" applyBorder="1" applyAlignment="1" applyProtection="1">
      <alignment horizontal="left" vertical="top" wrapText="1"/>
      <protection locked="0"/>
    </xf>
    <xf numFmtId="0" fontId="4" fillId="3" borderId="25" xfId="0" applyFont="1" applyFill="1" applyBorder="1" applyAlignment="1" applyProtection="1">
      <alignment horizontal="left" vertical="top" wrapText="1"/>
      <protection locked="0"/>
    </xf>
    <xf numFmtId="0" fontId="4" fillId="3" borderId="26" xfId="0" applyFont="1" applyFill="1" applyBorder="1" applyAlignment="1" applyProtection="1">
      <alignment horizontal="left" vertical="top" wrapText="1"/>
      <protection locked="0"/>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0" fillId="3" borderId="27" xfId="0" applyFill="1" applyBorder="1" applyAlignment="1" applyProtection="1">
      <alignment horizontal="left" vertical="top"/>
      <protection hidden="1"/>
    </xf>
    <xf numFmtId="0" fontId="0" fillId="3" borderId="0" xfId="0" applyFill="1" applyAlignment="1" applyProtection="1">
      <alignment horizontal="left" vertical="top"/>
      <protection hidden="1"/>
    </xf>
    <xf numFmtId="0" fontId="3" fillId="3" borderId="2" xfId="0" applyFont="1" applyFill="1" applyBorder="1" applyAlignment="1" applyProtection="1">
      <alignment horizontal="center" vertical="top" wrapText="1"/>
      <protection locked="0"/>
    </xf>
    <xf numFmtId="0" fontId="3" fillId="3" borderId="3"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0" fontId="3" fillId="3" borderId="10" xfId="0" applyFont="1" applyFill="1" applyBorder="1" applyAlignment="1" applyProtection="1">
      <alignment horizontal="center" vertical="top" wrapText="1"/>
      <protection locked="0"/>
    </xf>
    <xf numFmtId="0" fontId="3" fillId="3" borderId="11" xfId="0" applyFont="1" applyFill="1" applyBorder="1" applyAlignment="1" applyProtection="1">
      <alignment horizontal="center" vertical="top" wrapText="1"/>
      <protection locked="0"/>
    </xf>
    <xf numFmtId="0" fontId="3" fillId="3" borderId="8" xfId="0" applyFont="1" applyFill="1" applyBorder="1" applyAlignment="1" applyProtection="1">
      <alignment horizontal="center" vertical="top" wrapText="1"/>
      <protection locked="0"/>
    </xf>
    <xf numFmtId="0" fontId="12" fillId="0" borderId="9" xfId="0" applyFont="1" applyBorder="1" applyAlignment="1">
      <alignment vertical="top" wrapText="1"/>
    </xf>
    <xf numFmtId="0" fontId="12" fillId="0" borderId="0" xfId="0" applyFont="1" applyAlignment="1">
      <alignment vertical="top" wrapText="1"/>
    </xf>
    <xf numFmtId="0" fontId="12" fillId="0" borderId="6" xfId="0" applyFont="1" applyBorder="1" applyAlignment="1">
      <alignment vertical="top" wrapText="1"/>
    </xf>
    <xf numFmtId="0" fontId="3" fillId="0" borderId="1" xfId="0" applyFont="1" applyBorder="1" applyAlignment="1">
      <alignment vertical="top"/>
    </xf>
    <xf numFmtId="0" fontId="3" fillId="0" borderId="5" xfId="0" applyFont="1" applyBorder="1" applyAlignment="1">
      <alignment vertical="top"/>
    </xf>
    <xf numFmtId="0" fontId="3" fillId="0" borderId="13" xfId="0" applyFont="1" applyBorder="1" applyAlignment="1">
      <alignment vertical="top"/>
    </xf>
    <xf numFmtId="0" fontId="3" fillId="0" borderId="14" xfId="0" applyFont="1" applyBorder="1" applyAlignment="1">
      <alignment vertical="top"/>
    </xf>
    <xf numFmtId="0" fontId="3" fillId="0" borderId="7" xfId="0" applyFont="1" applyBorder="1" applyAlignment="1">
      <alignment vertical="top"/>
    </xf>
    <xf numFmtId="0" fontId="3" fillId="3" borderId="21" xfId="0" applyFont="1" applyFill="1" applyBorder="1" applyAlignment="1">
      <alignment horizontal="center" vertical="top" wrapText="1"/>
    </xf>
    <xf numFmtId="0" fontId="3" fillId="3" borderId="22" xfId="0" applyFont="1" applyFill="1" applyBorder="1" applyAlignment="1">
      <alignment horizontal="center" vertical="top" wrapText="1"/>
    </xf>
    <xf numFmtId="0" fontId="3" fillId="3" borderId="23" xfId="0" applyFont="1" applyFill="1" applyBorder="1" applyAlignment="1">
      <alignment horizontal="center" vertical="top" wrapText="1"/>
    </xf>
    <xf numFmtId="0" fontId="3" fillId="3" borderId="24" xfId="0" applyFont="1" applyFill="1" applyBorder="1" applyAlignment="1">
      <alignment horizontal="center" vertical="top" wrapText="1"/>
    </xf>
    <xf numFmtId="0" fontId="3" fillId="3" borderId="25" xfId="0" applyFont="1" applyFill="1" applyBorder="1" applyAlignment="1">
      <alignment horizontal="center" vertical="top" wrapText="1"/>
    </xf>
    <xf numFmtId="0" fontId="3" fillId="3" borderId="26" xfId="0" applyFont="1" applyFill="1" applyBorder="1" applyAlignment="1">
      <alignment horizontal="center" vertical="top" wrapText="1"/>
    </xf>
    <xf numFmtId="0" fontId="12" fillId="0" borderId="10" xfId="0" applyFont="1" applyBorder="1" applyAlignment="1">
      <alignment vertical="top" wrapText="1"/>
    </xf>
    <xf numFmtId="0" fontId="12" fillId="0" borderId="11" xfId="0" applyFont="1" applyBorder="1" applyAlignment="1">
      <alignment vertical="top" wrapText="1"/>
    </xf>
    <xf numFmtId="0" fontId="12" fillId="0" borderId="8"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8" fillId="0" borderId="7" xfId="0" applyFont="1" applyBorder="1" applyAlignment="1">
      <alignmen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0" borderId="8" xfId="0" applyFont="1" applyBorder="1" applyAlignment="1">
      <alignment horizontal="left" vertical="center" wrapText="1"/>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4" fillId="0" borderId="7" xfId="0" applyFont="1" applyBorder="1" applyAlignment="1">
      <alignment horizontal="center" vertical="top" wrapText="1"/>
    </xf>
    <xf numFmtId="0" fontId="12" fillId="0" borderId="6" xfId="0" applyFont="1" applyBorder="1" applyAlignment="1">
      <alignment horizontal="left" vertical="center" wrapText="1"/>
    </xf>
    <xf numFmtId="0" fontId="3" fillId="0" borderId="1" xfId="0" applyFont="1" applyBorder="1" applyAlignment="1">
      <alignment vertical="top" wrapText="1"/>
    </xf>
    <xf numFmtId="0" fontId="3" fillId="0" borderId="5" xfId="0" applyFont="1" applyBorder="1" applyAlignment="1">
      <alignment vertical="top" wrapText="1"/>
    </xf>
    <xf numFmtId="0" fontId="3" fillId="0" borderId="13" xfId="0" applyFont="1" applyBorder="1" applyAlignment="1">
      <alignment vertical="top" wrapText="1"/>
    </xf>
    <xf numFmtId="0" fontId="3" fillId="3" borderId="2"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3" fillId="0" borderId="4" xfId="0" applyFont="1" applyBorder="1" applyAlignment="1">
      <alignment horizontal="center" vertical="top" wrapText="1"/>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3" fillId="3" borderId="14" xfId="0" applyFont="1" applyFill="1" applyBorder="1" applyAlignment="1" applyProtection="1">
      <alignment horizontal="left" vertical="top"/>
      <protection locked="0"/>
    </xf>
    <xf numFmtId="0" fontId="3" fillId="3" borderId="15" xfId="0" applyFont="1" applyFill="1" applyBorder="1" applyAlignment="1" applyProtection="1">
      <alignment horizontal="left" vertical="top"/>
      <protection locked="0"/>
    </xf>
    <xf numFmtId="0" fontId="3" fillId="3" borderId="7" xfId="0" applyFont="1" applyFill="1" applyBorder="1" applyAlignment="1" applyProtection="1">
      <alignment horizontal="left" vertical="top"/>
      <protection locked="0"/>
    </xf>
    <xf numFmtId="0" fontId="3" fillId="3" borderId="21"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3" fillId="3" borderId="23" xfId="0" applyFont="1" applyFill="1" applyBorder="1" applyAlignment="1" applyProtection="1">
      <alignment horizontal="left" vertical="top" wrapText="1"/>
      <protection locked="0"/>
    </xf>
    <xf numFmtId="0" fontId="3" fillId="3" borderId="24"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12"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4" xfId="0" applyFont="1" applyBorder="1" applyAlignment="1">
      <alignment vertical="top"/>
    </xf>
    <xf numFmtId="0" fontId="4" fillId="0" borderId="17" xfId="0" applyFont="1" applyBorder="1" applyAlignment="1">
      <alignment vertical="top"/>
    </xf>
    <xf numFmtId="0" fontId="4" fillId="0" borderId="1"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13" xfId="0" applyFont="1" applyBorder="1" applyAlignment="1" applyProtection="1">
      <alignment vertical="top" wrapText="1"/>
      <protection locked="0"/>
    </xf>
    <xf numFmtId="0" fontId="4" fillId="0" borderId="14" xfId="0" applyFont="1" applyBorder="1" applyAlignment="1" applyProtection="1">
      <alignment vertical="top" wrapText="1"/>
      <protection locked="0"/>
    </xf>
    <xf numFmtId="0" fontId="4" fillId="0" borderId="15"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6" xfId="0" applyFont="1" applyBorder="1" applyAlignment="1">
      <alignment horizontal="center" vertical="top"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12" fillId="0" borderId="14" xfId="0" applyFont="1" applyBorder="1" applyAlignment="1" applyProtection="1">
      <alignment vertical="top" wrapText="1"/>
      <protection locked="0"/>
    </xf>
    <xf numFmtId="0" fontId="12" fillId="0" borderId="15" xfId="0" applyFont="1" applyBorder="1" applyAlignment="1" applyProtection="1">
      <alignment vertical="top" wrapText="1"/>
      <protection locked="0"/>
    </xf>
    <xf numFmtId="0" fontId="12" fillId="0" borderId="7" xfId="0" applyFont="1" applyBorder="1" applyAlignment="1" applyProtection="1">
      <alignment vertical="top" wrapText="1"/>
      <protection locked="0"/>
    </xf>
  </cellXfs>
  <cellStyles count="76">
    <cellStyle name="Bueno" xfId="1" builtinId="26"/>
    <cellStyle name="Hipervínculo" xfId="2" builtinId="8"/>
    <cellStyle name="Millares" xfId="4" builtinId="3"/>
    <cellStyle name="Millares [0] 2" xfId="6" xr:uid="{0B24FA14-4563-42A8-BCA7-6157206FEBE3}"/>
    <cellStyle name="Millares [0] 2 2" xfId="9" xr:uid="{0F24B8BB-0613-4952-8BBA-7420549ECBDF}"/>
    <cellStyle name="Millares [0] 2 2 2" xfId="27" xr:uid="{D426A3D5-C475-4122-869B-606FF0C09466}"/>
    <cellStyle name="Millares [0] 2 3" xfId="24" xr:uid="{9AE449F5-3325-4917-8FAB-F30E0FFC9381}"/>
    <cellStyle name="Millares 10" xfId="32" xr:uid="{4D08F792-81E2-4880-8D4D-19335F362BBB}"/>
    <cellStyle name="Millares 11" xfId="33" xr:uid="{E602FFE1-37B3-434E-8D73-49EC3264C87E}"/>
    <cellStyle name="Millares 12" xfId="34" xr:uid="{AF2F42D7-1D29-4626-9353-D558A9B3F142}"/>
    <cellStyle name="Millares 13" xfId="35" xr:uid="{AB3C6995-789E-42F3-A29D-C7774AE53763}"/>
    <cellStyle name="Millares 14" xfId="36" xr:uid="{B61975A1-F0FB-4B06-915C-F28D4415C59E}"/>
    <cellStyle name="Millares 15" xfId="37" xr:uid="{CE69B8F8-C2A9-4565-AA0E-BADFB2FDFEC1}"/>
    <cellStyle name="Millares 16" xfId="38" xr:uid="{99BA31E4-7B15-484E-BF84-758A21E7873A}"/>
    <cellStyle name="Millares 17" xfId="39" xr:uid="{8FBC67F7-B9BE-43B1-A8BA-86CAFCA2D987}"/>
    <cellStyle name="Millares 18" xfId="40" xr:uid="{A270E242-FE95-4EED-A1C7-972BA50AFA46}"/>
    <cellStyle name="Millares 19" xfId="41" xr:uid="{6F18153E-350E-4476-B613-0103C751848A}"/>
    <cellStyle name="Millares 2" xfId="7" xr:uid="{98373B5D-15F6-47E6-AF78-F4B537F18C73}"/>
    <cellStyle name="Millares 2 2" xfId="10" xr:uid="{ABE0C250-1B43-44E3-99B8-4613B9E8B2F4}"/>
    <cellStyle name="Millares 2 2 2" xfId="17" xr:uid="{EA812814-64E4-4F60-9051-5A1745F0D529}"/>
    <cellStyle name="Millares 2 2 3" xfId="28" xr:uid="{68D3CC51-3FF7-493D-94FF-8D65240F9500}"/>
    <cellStyle name="Millares 2 3" xfId="13" xr:uid="{1CA717E4-56D0-4593-88BB-1E73C838D272}"/>
    <cellStyle name="Millares 2 4" xfId="25" xr:uid="{36A3D410-7059-4BCA-B703-F1FD0AA6AC83}"/>
    <cellStyle name="Millares 20" xfId="42" xr:uid="{CE8AEF2A-F824-4CCC-8BE2-423FCCB58C80}"/>
    <cellStyle name="Millares 21" xfId="43" xr:uid="{3C6644EF-5314-4BFE-A7A3-C0BC61B7A74D}"/>
    <cellStyle name="Millares 22" xfId="44" xr:uid="{6EB5B42F-9E63-46F3-B4FA-21091012F54B}"/>
    <cellStyle name="Millares 23" xfId="45" xr:uid="{AB15508B-3D0C-4755-985C-2917E4752D6B}"/>
    <cellStyle name="Millares 24" xfId="46" xr:uid="{53944404-E4E8-4826-965C-C210D377D6E5}"/>
    <cellStyle name="Millares 25" xfId="47" xr:uid="{131F546B-D0F1-4417-8EEE-74CDFD282F34}"/>
    <cellStyle name="Millares 26" xfId="48" xr:uid="{78809481-A123-4860-BCF4-28D7C8D5CCDE}"/>
    <cellStyle name="Millares 27" xfId="49" xr:uid="{4C99DB4E-35B9-46F1-9BDD-F03F603993C3}"/>
    <cellStyle name="Millares 28" xfId="50" xr:uid="{F355F116-84AE-4B9C-9EB4-548BA7649F82}"/>
    <cellStyle name="Millares 29" xfId="51" xr:uid="{1F1B0FE2-5B46-41E7-AD10-251202F9894F}"/>
    <cellStyle name="Millares 3" xfId="8" xr:uid="{2E415149-E9FC-4734-9FF0-D8B987130372}"/>
    <cellStyle name="Millares 3 2" xfId="26" xr:uid="{D989FCA5-5207-4FAA-BFF3-E3B4C58A9D88}"/>
    <cellStyle name="Millares 30" xfId="52" xr:uid="{42205491-2252-4946-85EE-41476D22AD01}"/>
    <cellStyle name="Millares 31" xfId="53" xr:uid="{85F64D9F-DFC2-4824-8A55-DF1E7429875E}"/>
    <cellStyle name="Millares 32" xfId="54" xr:uid="{ECA1AB26-72CE-4880-9FAB-F95EE5C2962B}"/>
    <cellStyle name="Millares 33" xfId="55" xr:uid="{7F791AE5-817C-4560-B2AF-38F44B362C49}"/>
    <cellStyle name="Millares 34" xfId="56" xr:uid="{F03C154A-674A-4835-82BF-C13635FDB9BA}"/>
    <cellStyle name="Millares 35" xfId="57" xr:uid="{73AF8E31-8D22-4F4B-83CF-55F9B9E9314D}"/>
    <cellStyle name="Millares 36" xfId="58" xr:uid="{6302FE61-09B9-4390-B23F-E10551FF51E4}"/>
    <cellStyle name="Millares 37" xfId="59" xr:uid="{8F3B8310-F596-45C5-B546-7975CC3EF37B}"/>
    <cellStyle name="Millares 38" xfId="60" xr:uid="{139D86D0-9AAE-4118-93C8-8BC551A4AEFA}"/>
    <cellStyle name="Millares 39" xfId="61" xr:uid="{D47CB9A2-93DB-41D1-A810-8ABD34F9A9A7}"/>
    <cellStyle name="Millares 4" xfId="15" xr:uid="{DF19ACF4-9205-40E6-B32B-C6BBCC7D50D8}"/>
    <cellStyle name="Millares 40" xfId="62" xr:uid="{4263C553-C6F1-48A7-9031-3A9568F24A78}"/>
    <cellStyle name="Millares 41" xfId="63" xr:uid="{E2ADEA3C-F2E9-4676-AC3F-E2615366ECBF}"/>
    <cellStyle name="Millares 42" xfId="64" xr:uid="{1F238A6C-DBEA-4CE6-9162-DF9610E88D02}"/>
    <cellStyle name="Millares 43" xfId="65" xr:uid="{128D2AEE-EF3F-45C2-9506-880CF0DFB57D}"/>
    <cellStyle name="Millares 44" xfId="66" xr:uid="{C8BFAFC2-87CA-41BF-A39B-BD61A3C91506}"/>
    <cellStyle name="Millares 45" xfId="67" xr:uid="{CB92CC1B-9BA2-417F-B0C4-09B679464BCF}"/>
    <cellStyle name="Millares 46" xfId="68" xr:uid="{28716E51-CF55-44E7-BC3B-5A13464198BF}"/>
    <cellStyle name="Millares 47" xfId="69" xr:uid="{F41E846E-2331-4BF5-AFC4-7F77A7B03D32}"/>
    <cellStyle name="Millares 48" xfId="70" xr:uid="{12362FAE-5833-4344-AD77-F2CF3CD6F7C5}"/>
    <cellStyle name="Millares 49" xfId="71" xr:uid="{300072DA-0CDE-4706-8814-A5CA069E8609}"/>
    <cellStyle name="Millares 5" xfId="23" xr:uid="{D59EFBC7-E04E-415F-8BE5-AD35B2CC3B6E}"/>
    <cellStyle name="Millares 50" xfId="72" xr:uid="{4802A7C1-F7F3-4470-A348-6FB43BD2E817}"/>
    <cellStyle name="Millares 51" xfId="73" xr:uid="{2D09CF97-53E5-41FF-AE77-3D732BC9D270}"/>
    <cellStyle name="Millares 52" xfId="74" xr:uid="{3B4225A9-09C4-43EC-86DF-7637F2422C93}"/>
    <cellStyle name="Millares 53" xfId="75" xr:uid="{A0894CDF-C7C4-4F67-9BF9-1E329811CBBE}"/>
    <cellStyle name="Millares 6" xfId="22" xr:uid="{E8FCC199-3C6E-4DF0-9727-BCB8FCB3CD37}"/>
    <cellStyle name="Millares 7" xfId="29" xr:uid="{014A483F-AA0E-435E-8252-18AA8CB6F1C0}"/>
    <cellStyle name="Millares 8" xfId="30" xr:uid="{8B547D89-EEB4-4D17-A25E-7D340104EC05}"/>
    <cellStyle name="Millares 9" xfId="31" xr:uid="{0A508ED5-8815-4592-9F8D-C67C79577AF4}"/>
    <cellStyle name="Moneda 2" xfId="11" xr:uid="{D22C6DF4-7124-45D3-9EE5-8FE703FB4E1C}"/>
    <cellStyle name="Moneda 2 2" xfId="18" xr:uid="{154B266F-CC5E-45C4-A01B-2FE739F93EFB}"/>
    <cellStyle name="Moneda 3" xfId="20" xr:uid="{404631DE-40DF-458C-BB29-B3C93EC46631}"/>
    <cellStyle name="Normal" xfId="0" builtinId="0"/>
    <cellStyle name="Normal 2" xfId="5" xr:uid="{00000000-0005-0000-0000-000004000000}"/>
    <cellStyle name="Normal 2 2" xfId="19" xr:uid="{F8B1A6D2-E0E4-48FD-8ED4-FEBC214E1414}"/>
    <cellStyle name="Normal 3" xfId="12" xr:uid="{67C551E0-E69B-4BBC-A596-CBCFE4E38C4B}"/>
    <cellStyle name="Normal 3 2" xfId="16" xr:uid="{A2256265-295D-4FB8-B6D1-81851D3A4157}"/>
    <cellStyle name="Normal 4" xfId="21" xr:uid="{18C23426-0282-4652-B116-377C75415540}"/>
    <cellStyle name="Porcentaje" xfId="3" builtinId="5"/>
    <cellStyle name="Porcentaje 2" xfId="14" xr:uid="{E0983B8E-0E08-4D81-B60B-9E9A18A94182}"/>
  </cellStyles>
  <dxfs count="1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s>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CD48D7A-4B03-4423-8CB5-5C5D79405805}" type="doc">
      <dgm:prSet loTypeId="urn:microsoft.com/office/officeart/2005/8/layout/list1" loCatId="list" qsTypeId="urn:microsoft.com/office/officeart/2005/8/quickstyle/simple1" qsCatId="simple" csTypeId="urn:microsoft.com/office/officeart/2005/8/colors/colorful5" csCatId="colorful" phldr="1"/>
      <dgm:spPr/>
      <dgm:t>
        <a:bodyPr/>
        <a:lstStyle/>
        <a:p>
          <a:endParaRPr lang="es-CO"/>
        </a:p>
      </dgm:t>
    </dgm:pt>
    <dgm:pt modelId="{2CB7F8B1-2637-4408-9185-3A95A2E4D4D4}">
      <dgm:prSet phldrT="[Texto]" custT="1"/>
      <dgm:spPr/>
      <dgm:t>
        <a:bodyPr/>
        <a:lstStyle/>
        <a:p>
          <a:r>
            <a:rPr lang="es-CO" sz="900" b="1"/>
            <a:t>1. FASE DE PREPARACION</a:t>
          </a:r>
        </a:p>
      </dgm:t>
    </dgm:pt>
    <dgm:pt modelId="{64144A9E-10F1-4862-BFC7-09D5896ACB2E}" type="parTrans" cxnId="{DF270C1B-8DAC-4DC2-9C2B-404524166343}">
      <dgm:prSet/>
      <dgm:spPr/>
      <dgm:t>
        <a:bodyPr/>
        <a:lstStyle/>
        <a:p>
          <a:endParaRPr lang="es-CO" sz="2000"/>
        </a:p>
      </dgm:t>
    </dgm:pt>
    <dgm:pt modelId="{1E2C00AA-92AD-4DFD-ADBE-9EE00E1BF72B}" type="sibTrans" cxnId="{DF270C1B-8DAC-4DC2-9C2B-404524166343}">
      <dgm:prSet/>
      <dgm:spPr/>
      <dgm:t>
        <a:bodyPr/>
        <a:lstStyle/>
        <a:p>
          <a:endParaRPr lang="es-CO" sz="2000"/>
        </a:p>
      </dgm:t>
    </dgm:pt>
    <dgm:pt modelId="{8069E184-766F-4E8B-A1E8-51EDBCF8B787}">
      <dgm:prSet phldrT="[Texto]" custT="1"/>
      <dgm:spPr/>
      <dgm:t>
        <a:bodyPr/>
        <a:lstStyle/>
        <a:p>
          <a:r>
            <a:rPr lang="es-CO" sz="900" b="1"/>
            <a:t>2. FASE DE APRESTAMIENTO</a:t>
          </a:r>
        </a:p>
      </dgm:t>
    </dgm:pt>
    <dgm:pt modelId="{F64789F9-D1CE-4AFA-889E-41DC5016CFAB}" type="parTrans" cxnId="{A2827875-87B0-4C3D-9E40-622962BC691D}">
      <dgm:prSet/>
      <dgm:spPr/>
      <dgm:t>
        <a:bodyPr/>
        <a:lstStyle/>
        <a:p>
          <a:endParaRPr lang="es-CO" sz="2000"/>
        </a:p>
      </dgm:t>
    </dgm:pt>
    <dgm:pt modelId="{93F1D987-E557-4E03-8C29-D08B5E8AAD1B}" type="sibTrans" cxnId="{A2827875-87B0-4C3D-9E40-622962BC691D}">
      <dgm:prSet/>
      <dgm:spPr/>
      <dgm:t>
        <a:bodyPr/>
        <a:lstStyle/>
        <a:p>
          <a:endParaRPr lang="es-CO" sz="2000"/>
        </a:p>
      </dgm:t>
    </dgm:pt>
    <dgm:pt modelId="{717ECC8B-6813-4A27-9DC1-A0349E570257}">
      <dgm:prSet phldrT="[Texto]" custT="1"/>
      <dgm:spPr/>
      <dgm:t>
        <a:bodyPr/>
        <a:lstStyle/>
        <a:p>
          <a:r>
            <a:rPr lang="es-CO" sz="900" b="1"/>
            <a:t>3. FASE  LOGISTICA Y OPERATIVA</a:t>
          </a:r>
        </a:p>
      </dgm:t>
    </dgm:pt>
    <dgm:pt modelId="{D945DCAA-29DE-415E-9EC0-2EA9CDBA637F}" type="parTrans" cxnId="{48FD79B7-0A80-4168-B74D-E45585C648D8}">
      <dgm:prSet/>
      <dgm:spPr/>
      <dgm:t>
        <a:bodyPr/>
        <a:lstStyle/>
        <a:p>
          <a:endParaRPr lang="es-CO" sz="2000"/>
        </a:p>
      </dgm:t>
    </dgm:pt>
    <dgm:pt modelId="{60E19195-CF68-47DE-9785-66C048977208}" type="sibTrans" cxnId="{48FD79B7-0A80-4168-B74D-E45585C648D8}">
      <dgm:prSet/>
      <dgm:spPr/>
      <dgm:t>
        <a:bodyPr/>
        <a:lstStyle/>
        <a:p>
          <a:endParaRPr lang="es-CO" sz="2000"/>
        </a:p>
      </dgm:t>
    </dgm:pt>
    <dgm:pt modelId="{D49A736D-D090-4C3F-B7C8-90E12189F4E6}">
      <dgm:prSet custT="1"/>
      <dgm:spPr/>
      <dgm:t>
        <a:bodyPr/>
        <a:lstStyle/>
        <a:p>
          <a:r>
            <a:rPr lang="es-CO" sz="900"/>
            <a:t>Definición de la unidad objeto de ordenación forestal</a:t>
          </a:r>
        </a:p>
      </dgm:t>
    </dgm:pt>
    <dgm:pt modelId="{6CB8211D-3027-42B8-8E1D-7F7CC0C2C2AF}" type="parTrans" cxnId="{6E1DD283-6A02-4C7B-967E-43E4F2241590}">
      <dgm:prSet/>
      <dgm:spPr/>
      <dgm:t>
        <a:bodyPr/>
        <a:lstStyle/>
        <a:p>
          <a:endParaRPr lang="es-CO" sz="2000"/>
        </a:p>
      </dgm:t>
    </dgm:pt>
    <dgm:pt modelId="{085597EB-8A00-4F32-B9FE-6AE8F6AD66DB}" type="sibTrans" cxnId="{6E1DD283-6A02-4C7B-967E-43E4F2241590}">
      <dgm:prSet/>
      <dgm:spPr/>
      <dgm:t>
        <a:bodyPr/>
        <a:lstStyle/>
        <a:p>
          <a:endParaRPr lang="es-CO" sz="2000"/>
        </a:p>
      </dgm:t>
    </dgm:pt>
    <dgm:pt modelId="{789B5BC8-288B-4DDA-AB25-039F66BEA3B1}">
      <dgm:prSet custT="1"/>
      <dgm:spPr/>
      <dgm:t>
        <a:bodyPr/>
        <a:lstStyle/>
        <a:p>
          <a:r>
            <a:rPr lang="es-CO" sz="900"/>
            <a:t>Asignación de recursos</a:t>
          </a:r>
        </a:p>
      </dgm:t>
    </dgm:pt>
    <dgm:pt modelId="{20DF2F84-B159-462C-A073-B863B19CCFA9}" type="parTrans" cxnId="{A8694B9B-DC05-4BB0-A409-CBB61FB7F639}">
      <dgm:prSet/>
      <dgm:spPr/>
      <dgm:t>
        <a:bodyPr/>
        <a:lstStyle/>
        <a:p>
          <a:endParaRPr lang="es-CO" sz="2000"/>
        </a:p>
      </dgm:t>
    </dgm:pt>
    <dgm:pt modelId="{F75FF99A-F150-48D0-B60B-5CB30D5A0E5A}" type="sibTrans" cxnId="{A8694B9B-DC05-4BB0-A409-CBB61FB7F639}">
      <dgm:prSet/>
      <dgm:spPr/>
      <dgm:t>
        <a:bodyPr/>
        <a:lstStyle/>
        <a:p>
          <a:endParaRPr lang="es-CO" sz="2000"/>
        </a:p>
      </dgm:t>
    </dgm:pt>
    <dgm:pt modelId="{98B28FD7-1DA8-4B1D-A743-BD64C0AAE85A}">
      <dgm:prSet custT="1"/>
      <dgm:spPr/>
      <dgm:t>
        <a:bodyPr/>
        <a:lstStyle/>
        <a:p>
          <a:r>
            <a:rPr lang="es-CO" sz="900"/>
            <a:t>Inicio del proceso pre y contractual</a:t>
          </a:r>
        </a:p>
      </dgm:t>
    </dgm:pt>
    <dgm:pt modelId="{6A5ADD14-5B36-4C8F-9B65-6460DDCE482E}" type="parTrans" cxnId="{C57E6554-2260-4CA8-9E7D-8591D135E53F}">
      <dgm:prSet/>
      <dgm:spPr/>
      <dgm:t>
        <a:bodyPr/>
        <a:lstStyle/>
        <a:p>
          <a:endParaRPr lang="es-CO" sz="2000"/>
        </a:p>
      </dgm:t>
    </dgm:pt>
    <dgm:pt modelId="{55643889-0069-4635-8EFF-361433B6492D}" type="sibTrans" cxnId="{C57E6554-2260-4CA8-9E7D-8591D135E53F}">
      <dgm:prSet/>
      <dgm:spPr/>
      <dgm:t>
        <a:bodyPr/>
        <a:lstStyle/>
        <a:p>
          <a:endParaRPr lang="es-CO" sz="2000"/>
        </a:p>
      </dgm:t>
    </dgm:pt>
    <dgm:pt modelId="{4E33CAE3-BFA7-460A-ADA1-9740AF500CD1}">
      <dgm:prSet custT="1"/>
      <dgm:spPr/>
      <dgm:t>
        <a:bodyPr/>
        <a:lstStyle/>
        <a:p>
          <a:r>
            <a:rPr lang="es-CO" sz="900"/>
            <a:t>Consulta, validación y digitalización de información secundaria</a:t>
          </a:r>
        </a:p>
      </dgm:t>
    </dgm:pt>
    <dgm:pt modelId="{9DB4B8DC-C792-4F88-B9F0-3F8C466B68ED}" type="parTrans" cxnId="{3BF7423E-3DB0-4A87-A18C-2FC41867B2B4}">
      <dgm:prSet/>
      <dgm:spPr/>
      <dgm:t>
        <a:bodyPr/>
        <a:lstStyle/>
        <a:p>
          <a:endParaRPr lang="es-CO" sz="2000"/>
        </a:p>
      </dgm:t>
    </dgm:pt>
    <dgm:pt modelId="{4C4701A6-649F-4B75-8728-83D55A5A5663}" type="sibTrans" cxnId="{3BF7423E-3DB0-4A87-A18C-2FC41867B2B4}">
      <dgm:prSet/>
      <dgm:spPr/>
      <dgm:t>
        <a:bodyPr/>
        <a:lstStyle/>
        <a:p>
          <a:endParaRPr lang="es-CO" sz="2000"/>
        </a:p>
      </dgm:t>
    </dgm:pt>
    <dgm:pt modelId="{08ED7DEB-8B98-40A9-9699-ACCFB829DBE2}">
      <dgm:prSet custT="1"/>
      <dgm:spPr/>
      <dgm:t>
        <a:bodyPr/>
        <a:lstStyle/>
        <a:p>
          <a:r>
            <a:rPr lang="es-CO" sz="900"/>
            <a:t>Procesamiento e interpretación de imágenes satelitales</a:t>
          </a:r>
        </a:p>
      </dgm:t>
    </dgm:pt>
    <dgm:pt modelId="{C96799B1-BF4C-4F01-9A1B-8BF2A3D32A1B}" type="parTrans" cxnId="{9A2394D6-DEA8-457C-A7F6-0CA60D78D7EA}">
      <dgm:prSet/>
      <dgm:spPr/>
      <dgm:t>
        <a:bodyPr/>
        <a:lstStyle/>
        <a:p>
          <a:endParaRPr lang="es-CO" sz="2000"/>
        </a:p>
      </dgm:t>
    </dgm:pt>
    <dgm:pt modelId="{BC1C2EC9-649F-493C-B095-2F14FEE273F0}" type="sibTrans" cxnId="{9A2394D6-DEA8-457C-A7F6-0CA60D78D7EA}">
      <dgm:prSet/>
      <dgm:spPr/>
      <dgm:t>
        <a:bodyPr/>
        <a:lstStyle/>
        <a:p>
          <a:endParaRPr lang="es-CO" sz="2000"/>
        </a:p>
      </dgm:t>
    </dgm:pt>
    <dgm:pt modelId="{C8F6D009-A118-4555-A677-CBA61BF6F0D5}">
      <dgm:prSet custT="1"/>
      <dgm:spPr/>
      <dgm:t>
        <a:bodyPr/>
        <a:lstStyle/>
        <a:p>
          <a:r>
            <a:rPr lang="es-CO" sz="900"/>
            <a:t>Generación de información cartográfica preliminar</a:t>
          </a:r>
        </a:p>
      </dgm:t>
    </dgm:pt>
    <dgm:pt modelId="{C71E5930-069B-45A4-B7EB-02FF81630C0E}" type="parTrans" cxnId="{47FA276C-8AB9-4C50-93CB-3C240B93E4C4}">
      <dgm:prSet/>
      <dgm:spPr/>
      <dgm:t>
        <a:bodyPr/>
        <a:lstStyle/>
        <a:p>
          <a:endParaRPr lang="es-CO" sz="2000"/>
        </a:p>
      </dgm:t>
    </dgm:pt>
    <dgm:pt modelId="{EC10895F-10B2-42FD-BCC8-4993E1130164}" type="sibTrans" cxnId="{47FA276C-8AB9-4C50-93CB-3C240B93E4C4}">
      <dgm:prSet/>
      <dgm:spPr/>
      <dgm:t>
        <a:bodyPr/>
        <a:lstStyle/>
        <a:p>
          <a:endParaRPr lang="es-CO" sz="2000"/>
        </a:p>
      </dgm:t>
    </dgm:pt>
    <dgm:pt modelId="{FFA71FF0-2ACD-4163-B043-1EB367B6C2B1}">
      <dgm:prSet custT="1"/>
      <dgm:spPr/>
      <dgm:t>
        <a:bodyPr/>
        <a:lstStyle/>
        <a:p>
          <a:r>
            <a:rPr lang="es-CO" sz="900"/>
            <a:t>Definición de metodología para levantamiento de información primaria</a:t>
          </a:r>
        </a:p>
      </dgm:t>
    </dgm:pt>
    <dgm:pt modelId="{201802FC-6167-42F1-933E-394845600453}" type="parTrans" cxnId="{478F5893-B289-4B36-A04A-A02DEA40ACC3}">
      <dgm:prSet/>
      <dgm:spPr/>
      <dgm:t>
        <a:bodyPr/>
        <a:lstStyle/>
        <a:p>
          <a:endParaRPr lang="es-CO" sz="2000"/>
        </a:p>
      </dgm:t>
    </dgm:pt>
    <dgm:pt modelId="{B39A6FB6-B160-47AD-A274-EF0DD243C32D}" type="sibTrans" cxnId="{478F5893-B289-4B36-A04A-A02DEA40ACC3}">
      <dgm:prSet/>
      <dgm:spPr/>
      <dgm:t>
        <a:bodyPr/>
        <a:lstStyle/>
        <a:p>
          <a:endParaRPr lang="es-CO" sz="2000"/>
        </a:p>
      </dgm:t>
    </dgm:pt>
    <dgm:pt modelId="{90932CD4-98AF-4D20-B3A5-3F4217DAB33C}">
      <dgm:prSet custT="1"/>
      <dgm:spPr/>
      <dgm:t>
        <a:bodyPr/>
        <a:lstStyle/>
        <a:p>
          <a:r>
            <a:rPr lang="es-CO" sz="900"/>
            <a:t>Socialización y acuerdos con actores regionales y locales</a:t>
          </a:r>
        </a:p>
      </dgm:t>
    </dgm:pt>
    <dgm:pt modelId="{D4A14047-4231-4EAE-82B4-884A078437F6}" type="parTrans" cxnId="{86FF9304-A88E-4E74-AECB-FD793CD64EBE}">
      <dgm:prSet/>
      <dgm:spPr/>
      <dgm:t>
        <a:bodyPr/>
        <a:lstStyle/>
        <a:p>
          <a:endParaRPr lang="es-CO" sz="2000"/>
        </a:p>
      </dgm:t>
    </dgm:pt>
    <dgm:pt modelId="{678DBBEA-15F8-4CEC-BE62-3B0B23BED2F8}" type="sibTrans" cxnId="{86FF9304-A88E-4E74-AECB-FD793CD64EBE}">
      <dgm:prSet/>
      <dgm:spPr/>
      <dgm:t>
        <a:bodyPr/>
        <a:lstStyle/>
        <a:p>
          <a:endParaRPr lang="es-CO" sz="2000"/>
        </a:p>
      </dgm:t>
    </dgm:pt>
    <dgm:pt modelId="{D67F9A5A-5E88-44A1-939C-135CE3AF4041}">
      <dgm:prSet phldrT="[Texto]" custT="1"/>
      <dgm:spPr/>
      <dgm:t>
        <a:bodyPr/>
        <a:lstStyle/>
        <a:p>
          <a:r>
            <a:rPr lang="es-CO" sz="900" b="1"/>
            <a:t>4. FASE DE OFICINA</a:t>
          </a:r>
        </a:p>
      </dgm:t>
    </dgm:pt>
    <dgm:pt modelId="{147BBB2B-EBFD-43A6-B289-2DA32B306280}" type="parTrans" cxnId="{E56EA914-32FC-4F01-AE21-F02AF3BAD451}">
      <dgm:prSet/>
      <dgm:spPr/>
      <dgm:t>
        <a:bodyPr/>
        <a:lstStyle/>
        <a:p>
          <a:endParaRPr lang="es-CO" sz="2000"/>
        </a:p>
      </dgm:t>
    </dgm:pt>
    <dgm:pt modelId="{5865B6AA-9A9D-46ED-B85D-61C566F91B2B}" type="sibTrans" cxnId="{E56EA914-32FC-4F01-AE21-F02AF3BAD451}">
      <dgm:prSet/>
      <dgm:spPr/>
      <dgm:t>
        <a:bodyPr/>
        <a:lstStyle/>
        <a:p>
          <a:endParaRPr lang="es-CO" sz="2000"/>
        </a:p>
      </dgm:t>
    </dgm:pt>
    <dgm:pt modelId="{CF379588-8D99-446E-9DA3-7D31B1AC5467}">
      <dgm:prSet custT="1"/>
      <dgm:spPr/>
      <dgm:t>
        <a:bodyPr/>
        <a:lstStyle/>
        <a:p>
          <a:r>
            <a:rPr lang="es-CO" sz="900"/>
            <a:t>Procesamiento y análisis de información primaria</a:t>
          </a:r>
        </a:p>
      </dgm:t>
    </dgm:pt>
    <dgm:pt modelId="{C53496FF-16AA-4B86-9A97-C210D3425615}" type="parTrans" cxnId="{64B9461D-EAC6-4AD6-8946-7E802054283C}">
      <dgm:prSet/>
      <dgm:spPr/>
      <dgm:t>
        <a:bodyPr/>
        <a:lstStyle/>
        <a:p>
          <a:endParaRPr lang="es-CO" sz="2000"/>
        </a:p>
      </dgm:t>
    </dgm:pt>
    <dgm:pt modelId="{FA04A515-77A5-47E1-9A21-427002F75BBD}" type="sibTrans" cxnId="{64B9461D-EAC6-4AD6-8946-7E802054283C}">
      <dgm:prSet/>
      <dgm:spPr/>
      <dgm:t>
        <a:bodyPr/>
        <a:lstStyle/>
        <a:p>
          <a:endParaRPr lang="es-CO" sz="2000"/>
        </a:p>
      </dgm:t>
    </dgm:pt>
    <dgm:pt modelId="{F2356AF9-BEEF-4B44-8D11-6960D17AF916}">
      <dgm:prSet custT="1"/>
      <dgm:spPr/>
      <dgm:t>
        <a:bodyPr/>
        <a:lstStyle/>
        <a:p>
          <a:r>
            <a:rPr lang="es-CO" sz="900"/>
            <a:t>Propuesta zonificación inicial de la UOF</a:t>
          </a:r>
        </a:p>
      </dgm:t>
    </dgm:pt>
    <dgm:pt modelId="{30965C44-C041-42DC-BEED-B4376C8E6B72}" type="parTrans" cxnId="{952D29FA-01DB-4FF4-B950-87A63CC80292}">
      <dgm:prSet/>
      <dgm:spPr/>
      <dgm:t>
        <a:bodyPr/>
        <a:lstStyle/>
        <a:p>
          <a:endParaRPr lang="es-CO" sz="2000"/>
        </a:p>
      </dgm:t>
    </dgm:pt>
    <dgm:pt modelId="{B601354C-9FC2-4283-877B-28B5BED5CBBC}" type="sibTrans" cxnId="{952D29FA-01DB-4FF4-B950-87A63CC80292}">
      <dgm:prSet/>
      <dgm:spPr/>
      <dgm:t>
        <a:bodyPr/>
        <a:lstStyle/>
        <a:p>
          <a:endParaRPr lang="es-CO" sz="2000"/>
        </a:p>
      </dgm:t>
    </dgm:pt>
    <dgm:pt modelId="{51776FAA-A67F-43C9-93A9-09460B1195D0}">
      <dgm:prSet custT="1"/>
      <dgm:spPr/>
      <dgm:t>
        <a:bodyPr/>
        <a:lstStyle/>
        <a:p>
          <a:r>
            <a:rPr lang="es-CO" sz="900"/>
            <a:t>Propuesta de zonificación de las áreas forestales que componen la UOF</a:t>
          </a:r>
        </a:p>
      </dgm:t>
    </dgm:pt>
    <dgm:pt modelId="{F49DC0A9-8665-4ADA-A379-AC107454A3ED}" type="parTrans" cxnId="{72240C85-9D5C-458C-B319-EA4B04B6FA8A}">
      <dgm:prSet/>
      <dgm:spPr/>
      <dgm:t>
        <a:bodyPr/>
        <a:lstStyle/>
        <a:p>
          <a:endParaRPr lang="es-CO" sz="2000"/>
        </a:p>
      </dgm:t>
    </dgm:pt>
    <dgm:pt modelId="{C8B4DFF5-5087-4292-AE4B-32507D166EBF}" type="sibTrans" cxnId="{72240C85-9D5C-458C-B319-EA4B04B6FA8A}">
      <dgm:prSet/>
      <dgm:spPr/>
      <dgm:t>
        <a:bodyPr/>
        <a:lstStyle/>
        <a:p>
          <a:endParaRPr lang="es-CO" sz="2000"/>
        </a:p>
      </dgm:t>
    </dgm:pt>
    <dgm:pt modelId="{CF4F553E-C1BC-4366-8D1F-2538C739F34D}">
      <dgm:prSet phldrT="[Texto]" custT="1"/>
      <dgm:spPr/>
      <dgm:t>
        <a:bodyPr/>
        <a:lstStyle/>
        <a:p>
          <a:r>
            <a:rPr lang="es-CO" sz="900" b="1"/>
            <a:t>5. FASE DE FORMULACION</a:t>
          </a:r>
        </a:p>
      </dgm:t>
    </dgm:pt>
    <dgm:pt modelId="{87729DE7-2820-4664-B237-4A95FE1E2F12}" type="parTrans" cxnId="{E88658A0-3BDE-454E-A794-8505E55DC105}">
      <dgm:prSet/>
      <dgm:spPr/>
      <dgm:t>
        <a:bodyPr/>
        <a:lstStyle/>
        <a:p>
          <a:endParaRPr lang="es-CO" sz="2000"/>
        </a:p>
      </dgm:t>
    </dgm:pt>
    <dgm:pt modelId="{94558B0E-E006-4B59-8C83-CEE5060F8235}" type="sibTrans" cxnId="{E88658A0-3BDE-454E-A794-8505E55DC105}">
      <dgm:prSet/>
      <dgm:spPr/>
      <dgm:t>
        <a:bodyPr/>
        <a:lstStyle/>
        <a:p>
          <a:endParaRPr lang="es-CO" sz="2000"/>
        </a:p>
      </dgm:t>
    </dgm:pt>
    <dgm:pt modelId="{C14DAE80-C9AD-4DF2-AB00-76A03871C660}">
      <dgm:prSet custT="1"/>
      <dgm:spPr/>
      <dgm:t>
        <a:bodyPr/>
        <a:lstStyle/>
        <a:p>
          <a:r>
            <a:rPr lang="es-CO" sz="900"/>
            <a:t>Socialización versión premiminar de los POF</a:t>
          </a:r>
        </a:p>
      </dgm:t>
    </dgm:pt>
    <dgm:pt modelId="{1B35EC25-3A5D-44C3-8EC6-1F67B5E94F65}" type="parTrans" cxnId="{FAE50C2E-D4BD-46F3-ACBD-9DE02637A7D6}">
      <dgm:prSet/>
      <dgm:spPr/>
      <dgm:t>
        <a:bodyPr/>
        <a:lstStyle/>
        <a:p>
          <a:endParaRPr lang="es-CO" sz="2000"/>
        </a:p>
      </dgm:t>
    </dgm:pt>
    <dgm:pt modelId="{EB3C29DE-5BFD-45F2-B15E-ED5B03F68740}" type="sibTrans" cxnId="{FAE50C2E-D4BD-46F3-ACBD-9DE02637A7D6}">
      <dgm:prSet/>
      <dgm:spPr/>
      <dgm:t>
        <a:bodyPr/>
        <a:lstStyle/>
        <a:p>
          <a:endParaRPr lang="es-CO" sz="2000"/>
        </a:p>
      </dgm:t>
    </dgm:pt>
    <dgm:pt modelId="{0E652C00-4F5E-4225-B0DE-1E16E467F052}">
      <dgm:prSet phldrT="[Texto]" custT="1"/>
      <dgm:spPr/>
      <dgm:t>
        <a:bodyPr/>
        <a:lstStyle/>
        <a:p>
          <a:r>
            <a:rPr lang="es-CO" sz="900" b="1"/>
            <a:t>6. FASE DE IMPLEMENTACION</a:t>
          </a:r>
        </a:p>
      </dgm:t>
    </dgm:pt>
    <dgm:pt modelId="{6B4BA892-C7B2-40DA-97EE-3611027033ED}" type="parTrans" cxnId="{ABA36423-4ADF-4BC2-B9D4-4551354C1F10}">
      <dgm:prSet/>
      <dgm:spPr/>
      <dgm:t>
        <a:bodyPr/>
        <a:lstStyle/>
        <a:p>
          <a:endParaRPr lang="es-CO" sz="2000"/>
        </a:p>
      </dgm:t>
    </dgm:pt>
    <dgm:pt modelId="{49049186-C28C-4B3F-A75E-A3310F719D8A}" type="sibTrans" cxnId="{ABA36423-4ADF-4BC2-B9D4-4551354C1F10}">
      <dgm:prSet/>
      <dgm:spPr/>
      <dgm:t>
        <a:bodyPr/>
        <a:lstStyle/>
        <a:p>
          <a:endParaRPr lang="es-CO" sz="2000"/>
        </a:p>
      </dgm:t>
    </dgm:pt>
    <dgm:pt modelId="{FDC96EDD-2D2E-424F-9793-6C67FBB810DD}">
      <dgm:prSet custT="1"/>
      <dgm:spPr/>
      <dgm:t>
        <a:bodyPr/>
        <a:lstStyle/>
        <a:p>
          <a:r>
            <a:rPr lang="es-CO" sz="900"/>
            <a:t>Aprobación de los POF por Consejo Directivo de la autoridad ambiental competente</a:t>
          </a:r>
        </a:p>
      </dgm:t>
    </dgm:pt>
    <dgm:pt modelId="{C0F088F2-D816-422B-A598-8465D4C16265}" type="parTrans" cxnId="{A43DF155-EDED-4348-8849-3FB54F8752F4}">
      <dgm:prSet/>
      <dgm:spPr/>
      <dgm:t>
        <a:bodyPr/>
        <a:lstStyle/>
        <a:p>
          <a:endParaRPr lang="es-CO" sz="2000"/>
        </a:p>
      </dgm:t>
    </dgm:pt>
    <dgm:pt modelId="{D85BC74A-2C14-4596-B306-9B50E9FDF986}" type="sibTrans" cxnId="{A43DF155-EDED-4348-8849-3FB54F8752F4}">
      <dgm:prSet/>
      <dgm:spPr/>
      <dgm:t>
        <a:bodyPr/>
        <a:lstStyle/>
        <a:p>
          <a:endParaRPr lang="es-CO" sz="2000"/>
        </a:p>
      </dgm:t>
    </dgm:pt>
    <dgm:pt modelId="{6632AE42-4A3F-47A4-991F-05B67D9E15A4}">
      <dgm:prSet custT="1"/>
      <dgm:spPr/>
      <dgm:t>
        <a:bodyPr/>
        <a:lstStyle/>
        <a:p>
          <a:r>
            <a:rPr lang="es-CO" sz="900"/>
            <a:t>Incorporación de los POF en el POA de la autoridad ambiental competente</a:t>
          </a:r>
        </a:p>
      </dgm:t>
    </dgm:pt>
    <dgm:pt modelId="{EA24CD28-DA30-489E-812A-8D006AD804E2}" type="parTrans" cxnId="{66F80349-2184-4386-B9D3-B0DFF876CB84}">
      <dgm:prSet/>
      <dgm:spPr/>
      <dgm:t>
        <a:bodyPr/>
        <a:lstStyle/>
        <a:p>
          <a:endParaRPr lang="es-CO" sz="2000"/>
        </a:p>
      </dgm:t>
    </dgm:pt>
    <dgm:pt modelId="{413A0DEC-0431-4D0A-9CF6-9F28DD448962}" type="sibTrans" cxnId="{66F80349-2184-4386-B9D3-B0DFF876CB84}">
      <dgm:prSet/>
      <dgm:spPr/>
      <dgm:t>
        <a:bodyPr/>
        <a:lstStyle/>
        <a:p>
          <a:endParaRPr lang="es-CO" sz="2000"/>
        </a:p>
      </dgm:t>
    </dgm:pt>
    <dgm:pt modelId="{E9D3C62B-362B-44C9-A42A-154B9DBAE91C}">
      <dgm:prSet custT="1"/>
      <dgm:spPr/>
      <dgm:t>
        <a:bodyPr/>
        <a:lstStyle/>
        <a:p>
          <a:r>
            <a:rPr lang="es-CO" sz="900"/>
            <a:t>Desarrollo de planes, programas y proyectos de cada POF </a:t>
          </a:r>
        </a:p>
      </dgm:t>
    </dgm:pt>
    <dgm:pt modelId="{C9AEF7BE-B561-478B-BAC4-CA5215113050}" type="parTrans" cxnId="{62C6A6A5-51AF-43F3-B103-5345821FAFEE}">
      <dgm:prSet/>
      <dgm:spPr/>
      <dgm:t>
        <a:bodyPr/>
        <a:lstStyle/>
        <a:p>
          <a:endParaRPr lang="es-CO" sz="2000"/>
        </a:p>
      </dgm:t>
    </dgm:pt>
    <dgm:pt modelId="{FFF495EB-AA84-4FB0-A607-B67EEC28EFF6}" type="sibTrans" cxnId="{62C6A6A5-51AF-43F3-B103-5345821FAFEE}">
      <dgm:prSet/>
      <dgm:spPr/>
      <dgm:t>
        <a:bodyPr/>
        <a:lstStyle/>
        <a:p>
          <a:endParaRPr lang="es-CO" sz="2000"/>
        </a:p>
      </dgm:t>
    </dgm:pt>
    <dgm:pt modelId="{38D6ECF3-9DC0-4FA5-AA85-AE678086D86F}">
      <dgm:prSet phldrT="[Texto]" custT="1"/>
      <dgm:spPr/>
      <dgm:t>
        <a:bodyPr/>
        <a:lstStyle/>
        <a:p>
          <a:r>
            <a:rPr lang="es-CO" sz="900" b="1"/>
            <a:t>7. FASE DE SEGUIMIENTO Y ACTUALIZACION</a:t>
          </a:r>
        </a:p>
      </dgm:t>
    </dgm:pt>
    <dgm:pt modelId="{CA07B11D-A281-4474-956D-CE017D55096D}" type="parTrans" cxnId="{228A001C-DFEF-4BA8-8945-6B052FD3DB06}">
      <dgm:prSet/>
      <dgm:spPr/>
      <dgm:t>
        <a:bodyPr/>
        <a:lstStyle/>
        <a:p>
          <a:endParaRPr lang="es-CO" sz="2000"/>
        </a:p>
      </dgm:t>
    </dgm:pt>
    <dgm:pt modelId="{23F1DCF5-3AF5-46F5-8EBA-1B227FFDA68A}" type="sibTrans" cxnId="{228A001C-DFEF-4BA8-8945-6B052FD3DB06}">
      <dgm:prSet/>
      <dgm:spPr/>
      <dgm:t>
        <a:bodyPr/>
        <a:lstStyle/>
        <a:p>
          <a:endParaRPr lang="es-CO" sz="2000"/>
        </a:p>
      </dgm:t>
    </dgm:pt>
    <dgm:pt modelId="{7AD3D970-693A-46CB-93F2-8719BB4A2138}">
      <dgm:prSet custT="1"/>
      <dgm:spPr/>
      <dgm:t>
        <a:bodyPr/>
        <a:lstStyle/>
        <a:p>
          <a:r>
            <a:rPr lang="es-CO" sz="900"/>
            <a:t>Seguimiento a los POF</a:t>
          </a:r>
        </a:p>
      </dgm:t>
    </dgm:pt>
    <dgm:pt modelId="{76659B4B-2119-4F3E-A632-F083A9E2AF61}" type="parTrans" cxnId="{84B27017-A550-4955-B34A-A6F39E2DEC14}">
      <dgm:prSet/>
      <dgm:spPr/>
      <dgm:t>
        <a:bodyPr/>
        <a:lstStyle/>
        <a:p>
          <a:endParaRPr lang="es-CO" sz="2000"/>
        </a:p>
      </dgm:t>
    </dgm:pt>
    <dgm:pt modelId="{004D6EF7-97F6-4EB3-9B3E-229E15C08DFD}" type="sibTrans" cxnId="{84B27017-A550-4955-B34A-A6F39E2DEC14}">
      <dgm:prSet/>
      <dgm:spPr/>
      <dgm:t>
        <a:bodyPr/>
        <a:lstStyle/>
        <a:p>
          <a:endParaRPr lang="es-CO" sz="2000"/>
        </a:p>
      </dgm:t>
    </dgm:pt>
    <dgm:pt modelId="{92E8A65F-F99F-488E-AF0A-565C72278797}">
      <dgm:prSet custT="1"/>
      <dgm:spPr/>
      <dgm:t>
        <a:bodyPr/>
        <a:lstStyle/>
        <a:p>
          <a:r>
            <a:rPr lang="es-CO" sz="900"/>
            <a:t>Revisión y evaluación de los POF</a:t>
          </a:r>
        </a:p>
      </dgm:t>
    </dgm:pt>
    <dgm:pt modelId="{66E38FC8-C18A-470F-A205-AE2365A9DE78}" type="parTrans" cxnId="{3F409E34-BFAE-45FE-A027-0ABAC99B8A84}">
      <dgm:prSet/>
      <dgm:spPr/>
      <dgm:t>
        <a:bodyPr/>
        <a:lstStyle/>
        <a:p>
          <a:endParaRPr lang="es-CO" sz="2000"/>
        </a:p>
      </dgm:t>
    </dgm:pt>
    <dgm:pt modelId="{B79C7341-D380-4E6F-A6A3-3F12A56CC081}" type="sibTrans" cxnId="{3F409E34-BFAE-45FE-A027-0ABAC99B8A84}">
      <dgm:prSet/>
      <dgm:spPr/>
      <dgm:t>
        <a:bodyPr/>
        <a:lstStyle/>
        <a:p>
          <a:endParaRPr lang="es-CO" sz="2000"/>
        </a:p>
      </dgm:t>
    </dgm:pt>
    <dgm:pt modelId="{260FD557-A6C6-4FE3-8993-4A56E5810063}">
      <dgm:prSet custT="1"/>
      <dgm:spPr/>
      <dgm:t>
        <a:bodyPr/>
        <a:lstStyle/>
        <a:p>
          <a:r>
            <a:rPr lang="es-CO" sz="900"/>
            <a:t>Conformación del equipo de trabajo  </a:t>
          </a:r>
        </a:p>
      </dgm:t>
    </dgm:pt>
    <dgm:pt modelId="{99DC8CBA-2F58-4241-815F-B0348FB0A095}" type="parTrans" cxnId="{AE5988E1-7C16-4B0A-ABF6-7C82ABA26687}">
      <dgm:prSet/>
      <dgm:spPr/>
      <dgm:t>
        <a:bodyPr/>
        <a:lstStyle/>
        <a:p>
          <a:endParaRPr lang="es-CO"/>
        </a:p>
      </dgm:t>
    </dgm:pt>
    <dgm:pt modelId="{F96C925A-00E1-4DCD-9FAA-8558FB848EF6}" type="sibTrans" cxnId="{AE5988E1-7C16-4B0A-ABF6-7C82ABA26687}">
      <dgm:prSet/>
      <dgm:spPr/>
      <dgm:t>
        <a:bodyPr/>
        <a:lstStyle/>
        <a:p>
          <a:endParaRPr lang="es-CO"/>
        </a:p>
      </dgm:t>
    </dgm:pt>
    <dgm:pt modelId="{4A7800C9-7D3D-4FD3-A0C8-055EA574631C}">
      <dgm:prSet custT="1"/>
      <dgm:spPr/>
      <dgm:t>
        <a:bodyPr/>
        <a:lstStyle/>
        <a:p>
          <a:r>
            <a:rPr lang="es-CO" sz="900"/>
            <a:t>Chequeo cartografía en campo</a:t>
          </a:r>
        </a:p>
      </dgm:t>
    </dgm:pt>
    <dgm:pt modelId="{E88C88D6-C647-44AC-8F34-1CDDF9D56EAE}" type="parTrans" cxnId="{AF2C1DF1-0917-4A12-AD82-87034F4AA6BD}">
      <dgm:prSet/>
      <dgm:spPr/>
      <dgm:t>
        <a:bodyPr/>
        <a:lstStyle/>
        <a:p>
          <a:endParaRPr lang="es-CO"/>
        </a:p>
      </dgm:t>
    </dgm:pt>
    <dgm:pt modelId="{011E79F5-D3D2-430D-AB83-E364AA563D3C}" type="sibTrans" cxnId="{AF2C1DF1-0917-4A12-AD82-87034F4AA6BD}">
      <dgm:prSet/>
      <dgm:spPr/>
      <dgm:t>
        <a:bodyPr/>
        <a:lstStyle/>
        <a:p>
          <a:endParaRPr lang="es-CO"/>
        </a:p>
      </dgm:t>
    </dgm:pt>
    <dgm:pt modelId="{320F87EC-CED1-4210-8A86-B8F3B4014BD7}">
      <dgm:prSet custT="1"/>
      <dgm:spPr/>
      <dgm:t>
        <a:bodyPr/>
        <a:lstStyle/>
        <a:p>
          <a:r>
            <a:rPr lang="es-CO" sz="900"/>
            <a:t>Desarrollo del premuestreo, ajuste y realización del inventario forestal</a:t>
          </a:r>
        </a:p>
      </dgm:t>
    </dgm:pt>
    <dgm:pt modelId="{3E66B59C-1F4A-4068-B805-1D0FD9DF5EB9}" type="parTrans" cxnId="{B2CEC7D1-0EF3-43E8-A8C4-CA91F9F8B2C6}">
      <dgm:prSet/>
      <dgm:spPr/>
      <dgm:t>
        <a:bodyPr/>
        <a:lstStyle/>
        <a:p>
          <a:endParaRPr lang="es-CO"/>
        </a:p>
      </dgm:t>
    </dgm:pt>
    <dgm:pt modelId="{9C227A2C-DB8C-4F82-9033-31A1665D63A3}" type="sibTrans" cxnId="{B2CEC7D1-0EF3-43E8-A8C4-CA91F9F8B2C6}">
      <dgm:prSet/>
      <dgm:spPr/>
      <dgm:t>
        <a:bodyPr/>
        <a:lstStyle/>
        <a:p>
          <a:endParaRPr lang="es-CO"/>
        </a:p>
      </dgm:t>
    </dgm:pt>
    <dgm:pt modelId="{34106E7C-5D09-4727-92DE-E55E74AC51EE}">
      <dgm:prSet custT="1"/>
      <dgm:spPr/>
      <dgm:t>
        <a:bodyPr/>
        <a:lstStyle/>
        <a:p>
          <a:r>
            <a:rPr lang="es-CO" sz="900"/>
            <a:t>Desarrollo del componente socieconomico</a:t>
          </a:r>
        </a:p>
      </dgm:t>
    </dgm:pt>
    <dgm:pt modelId="{9975E2E8-9436-4F43-A130-25EADB8F15E6}" type="parTrans" cxnId="{6C6EB5FC-FF88-485A-AB17-1DEBD14B1B4D}">
      <dgm:prSet/>
      <dgm:spPr/>
      <dgm:t>
        <a:bodyPr/>
        <a:lstStyle/>
        <a:p>
          <a:endParaRPr lang="es-CO"/>
        </a:p>
      </dgm:t>
    </dgm:pt>
    <dgm:pt modelId="{55FD3231-A594-44A3-9758-E80BFF642EBF}" type="sibTrans" cxnId="{6C6EB5FC-FF88-485A-AB17-1DEBD14B1B4D}">
      <dgm:prSet/>
      <dgm:spPr/>
      <dgm:t>
        <a:bodyPr/>
        <a:lstStyle/>
        <a:p>
          <a:endParaRPr lang="es-CO"/>
        </a:p>
      </dgm:t>
    </dgm:pt>
    <dgm:pt modelId="{275C1FC4-3E17-4EB7-B629-3B18A2C22A68}">
      <dgm:prSet custT="1"/>
      <dgm:spPr/>
      <dgm:t>
        <a:bodyPr/>
        <a:lstStyle/>
        <a:p>
          <a:r>
            <a:rPr lang="es-CO" sz="900"/>
            <a:t>Desarrollo del componente suelos</a:t>
          </a:r>
        </a:p>
      </dgm:t>
    </dgm:pt>
    <dgm:pt modelId="{47FF5181-689E-402C-BA5E-A7F036D82964}" type="parTrans" cxnId="{387F9B62-BA72-46DA-93B7-D805807BFC03}">
      <dgm:prSet/>
      <dgm:spPr/>
      <dgm:t>
        <a:bodyPr/>
        <a:lstStyle/>
        <a:p>
          <a:endParaRPr lang="es-CO"/>
        </a:p>
      </dgm:t>
    </dgm:pt>
    <dgm:pt modelId="{BD9B50B6-A249-4B4C-A504-6B8A26A3E4B7}" type="sibTrans" cxnId="{387F9B62-BA72-46DA-93B7-D805807BFC03}">
      <dgm:prSet/>
      <dgm:spPr/>
      <dgm:t>
        <a:bodyPr/>
        <a:lstStyle/>
        <a:p>
          <a:endParaRPr lang="es-CO"/>
        </a:p>
      </dgm:t>
    </dgm:pt>
    <dgm:pt modelId="{0C7E1392-1B2E-4473-98A3-7DB95B0F3E41}">
      <dgm:prSet custT="1"/>
      <dgm:spPr/>
      <dgm:t>
        <a:bodyPr/>
        <a:lstStyle/>
        <a:p>
          <a:r>
            <a:rPr lang="es-CO" sz="900"/>
            <a:t>Desarrollo del componente fauna</a:t>
          </a:r>
        </a:p>
      </dgm:t>
    </dgm:pt>
    <dgm:pt modelId="{1BB85BBF-AE3C-4053-94E1-A07AA9D27118}" type="parTrans" cxnId="{21FF54B0-7061-409D-AA77-9C011DC7E50B}">
      <dgm:prSet/>
      <dgm:spPr/>
      <dgm:t>
        <a:bodyPr/>
        <a:lstStyle/>
        <a:p>
          <a:endParaRPr lang="es-CO"/>
        </a:p>
      </dgm:t>
    </dgm:pt>
    <dgm:pt modelId="{170804D9-020B-4492-BDDC-2864E2B9B088}" type="sibTrans" cxnId="{21FF54B0-7061-409D-AA77-9C011DC7E50B}">
      <dgm:prSet/>
      <dgm:spPr/>
      <dgm:t>
        <a:bodyPr/>
        <a:lstStyle/>
        <a:p>
          <a:endParaRPr lang="es-CO"/>
        </a:p>
      </dgm:t>
    </dgm:pt>
    <dgm:pt modelId="{FB36F50F-332B-41E1-B818-61C37228C5CE}">
      <dgm:prSet custT="1"/>
      <dgm:spPr/>
      <dgm:t>
        <a:bodyPr/>
        <a:lstStyle/>
        <a:p>
          <a:r>
            <a:rPr lang="es-CO" sz="900"/>
            <a:t>Armonización de los POF con actores locales y regionales</a:t>
          </a:r>
        </a:p>
      </dgm:t>
    </dgm:pt>
    <dgm:pt modelId="{1B402964-486C-4D88-B25B-BFBD3B7CB725}" type="parTrans" cxnId="{44A4FD8C-B715-4763-9E06-4EBC7F129D51}">
      <dgm:prSet/>
      <dgm:spPr/>
      <dgm:t>
        <a:bodyPr/>
        <a:lstStyle/>
        <a:p>
          <a:endParaRPr lang="es-CO"/>
        </a:p>
      </dgm:t>
    </dgm:pt>
    <dgm:pt modelId="{2F60FF59-EE81-4035-BCD0-A1A526D6233D}" type="sibTrans" cxnId="{44A4FD8C-B715-4763-9E06-4EBC7F129D51}">
      <dgm:prSet/>
      <dgm:spPr/>
      <dgm:t>
        <a:bodyPr/>
        <a:lstStyle/>
        <a:p>
          <a:endParaRPr lang="es-CO"/>
        </a:p>
      </dgm:t>
    </dgm:pt>
    <dgm:pt modelId="{2DDC3C6B-EB89-41BC-9626-2C8602AFD180}">
      <dgm:prSet custT="1"/>
      <dgm:spPr/>
      <dgm:t>
        <a:bodyPr/>
        <a:lstStyle/>
        <a:p>
          <a:r>
            <a:rPr lang="es-CO" sz="900"/>
            <a:t>Edición y ajustes de los POF</a:t>
          </a:r>
        </a:p>
      </dgm:t>
    </dgm:pt>
    <dgm:pt modelId="{8CA01F60-749A-4F13-A5F9-52959A1E5ACD}" type="parTrans" cxnId="{CBF95272-9C66-408A-9CF3-C7F12DD60BBE}">
      <dgm:prSet/>
      <dgm:spPr/>
      <dgm:t>
        <a:bodyPr/>
        <a:lstStyle/>
        <a:p>
          <a:endParaRPr lang="es-CO"/>
        </a:p>
      </dgm:t>
    </dgm:pt>
    <dgm:pt modelId="{4EF9A5D6-D9ED-4637-A11E-A0AF0603FCE7}" type="sibTrans" cxnId="{CBF95272-9C66-408A-9CF3-C7F12DD60BBE}">
      <dgm:prSet/>
      <dgm:spPr/>
      <dgm:t>
        <a:bodyPr/>
        <a:lstStyle/>
        <a:p>
          <a:endParaRPr lang="es-CO"/>
        </a:p>
      </dgm:t>
    </dgm:pt>
    <dgm:pt modelId="{29647C36-AD56-480A-B274-AFD85B8257AC}">
      <dgm:prSet custT="1"/>
      <dgm:spPr/>
      <dgm:t>
        <a:bodyPr/>
        <a:lstStyle/>
        <a:p>
          <a:r>
            <a:rPr lang="es-CO" sz="900"/>
            <a:t>Actualización de los POF  </a:t>
          </a:r>
        </a:p>
      </dgm:t>
    </dgm:pt>
    <dgm:pt modelId="{8B89DDF0-7CED-46E8-8F61-0B17466698FF}" type="sibTrans" cxnId="{F617155A-07A4-40C6-B9E5-6E820D5C2875}">
      <dgm:prSet/>
      <dgm:spPr/>
      <dgm:t>
        <a:bodyPr/>
        <a:lstStyle/>
        <a:p>
          <a:endParaRPr lang="es-CO" sz="2000"/>
        </a:p>
      </dgm:t>
    </dgm:pt>
    <dgm:pt modelId="{4CAE2BE9-B466-4310-88AB-C78BF23B7371}" type="parTrans" cxnId="{F617155A-07A4-40C6-B9E5-6E820D5C2875}">
      <dgm:prSet/>
      <dgm:spPr/>
      <dgm:t>
        <a:bodyPr/>
        <a:lstStyle/>
        <a:p>
          <a:endParaRPr lang="es-CO" sz="2000"/>
        </a:p>
      </dgm:t>
    </dgm:pt>
    <dgm:pt modelId="{477C0414-2F64-47A3-9675-FE2E4F8C4A83}">
      <dgm:prSet custT="1"/>
      <dgm:spPr/>
      <dgm:t>
        <a:bodyPr/>
        <a:lstStyle/>
        <a:p>
          <a:r>
            <a:rPr lang="es-CO" sz="900"/>
            <a:t> Formulación del POF para cada área forestal de la UOF</a:t>
          </a:r>
        </a:p>
      </dgm:t>
    </dgm:pt>
    <dgm:pt modelId="{211F0972-F335-42CF-8898-D6AD2F24BDF4}" type="parTrans" cxnId="{3673614D-FB3D-4D84-B4D5-C1C1FEB93DC6}">
      <dgm:prSet/>
      <dgm:spPr/>
      <dgm:t>
        <a:bodyPr/>
        <a:lstStyle/>
        <a:p>
          <a:endParaRPr lang="es-CO"/>
        </a:p>
      </dgm:t>
    </dgm:pt>
    <dgm:pt modelId="{8249E61B-7B06-45EC-87B1-4624BFB202FC}" type="sibTrans" cxnId="{3673614D-FB3D-4D84-B4D5-C1C1FEB93DC6}">
      <dgm:prSet/>
      <dgm:spPr/>
      <dgm:t>
        <a:bodyPr/>
        <a:lstStyle/>
        <a:p>
          <a:endParaRPr lang="es-CO"/>
        </a:p>
      </dgm:t>
    </dgm:pt>
    <dgm:pt modelId="{1DEF4F99-0D10-4E54-A0BF-F9524F830250}" type="pres">
      <dgm:prSet presAssocID="{DCD48D7A-4B03-4423-8CB5-5C5D79405805}" presName="linear" presStyleCnt="0">
        <dgm:presLayoutVars>
          <dgm:dir/>
          <dgm:animLvl val="lvl"/>
          <dgm:resizeHandles val="exact"/>
        </dgm:presLayoutVars>
      </dgm:prSet>
      <dgm:spPr/>
    </dgm:pt>
    <dgm:pt modelId="{2FA5CF8F-DEE2-445C-8A9F-A5B19AA1EC66}" type="pres">
      <dgm:prSet presAssocID="{2CB7F8B1-2637-4408-9185-3A95A2E4D4D4}" presName="parentLin" presStyleCnt="0"/>
      <dgm:spPr/>
    </dgm:pt>
    <dgm:pt modelId="{545F5493-E5D3-45CD-9407-AD3146FF5B66}" type="pres">
      <dgm:prSet presAssocID="{2CB7F8B1-2637-4408-9185-3A95A2E4D4D4}" presName="parentLeftMargin" presStyleLbl="node1" presStyleIdx="0" presStyleCnt="7"/>
      <dgm:spPr/>
    </dgm:pt>
    <dgm:pt modelId="{E6E34545-7A70-45F5-AF30-5300FEAF0CB4}" type="pres">
      <dgm:prSet presAssocID="{2CB7F8B1-2637-4408-9185-3A95A2E4D4D4}" presName="parentText" presStyleLbl="node1" presStyleIdx="0" presStyleCnt="7">
        <dgm:presLayoutVars>
          <dgm:chMax val="0"/>
          <dgm:bulletEnabled val="1"/>
        </dgm:presLayoutVars>
      </dgm:prSet>
      <dgm:spPr/>
    </dgm:pt>
    <dgm:pt modelId="{EF9B6E2C-EF0B-4D48-9074-55D69A90DE21}" type="pres">
      <dgm:prSet presAssocID="{2CB7F8B1-2637-4408-9185-3A95A2E4D4D4}" presName="negativeSpace" presStyleCnt="0"/>
      <dgm:spPr/>
    </dgm:pt>
    <dgm:pt modelId="{35D5CD7D-3A20-4EB8-B442-65E54571D39E}" type="pres">
      <dgm:prSet presAssocID="{2CB7F8B1-2637-4408-9185-3A95A2E4D4D4}" presName="childText" presStyleLbl="conFgAcc1" presStyleIdx="0" presStyleCnt="7" custLinFactNeighborX="210" custLinFactNeighborY="66562">
        <dgm:presLayoutVars>
          <dgm:bulletEnabled val="1"/>
        </dgm:presLayoutVars>
      </dgm:prSet>
      <dgm:spPr/>
    </dgm:pt>
    <dgm:pt modelId="{AB83843B-19AA-4C45-ACB9-0772D543D28B}" type="pres">
      <dgm:prSet presAssocID="{1E2C00AA-92AD-4DFD-ADBE-9EE00E1BF72B}" presName="spaceBetweenRectangles" presStyleCnt="0"/>
      <dgm:spPr/>
    </dgm:pt>
    <dgm:pt modelId="{55019F05-739C-499C-85AD-7269005767A1}" type="pres">
      <dgm:prSet presAssocID="{8069E184-766F-4E8B-A1E8-51EDBCF8B787}" presName="parentLin" presStyleCnt="0"/>
      <dgm:spPr/>
    </dgm:pt>
    <dgm:pt modelId="{8FFBFEAB-4C29-43E1-9195-E019257224C0}" type="pres">
      <dgm:prSet presAssocID="{8069E184-766F-4E8B-A1E8-51EDBCF8B787}" presName="parentLeftMargin" presStyleLbl="node1" presStyleIdx="0" presStyleCnt="7"/>
      <dgm:spPr/>
    </dgm:pt>
    <dgm:pt modelId="{C4175353-957F-4B0A-882A-9D65932C4C45}" type="pres">
      <dgm:prSet presAssocID="{8069E184-766F-4E8B-A1E8-51EDBCF8B787}" presName="parentText" presStyleLbl="node1" presStyleIdx="1" presStyleCnt="7" custLinFactNeighborX="7859" custLinFactNeighborY="9302">
        <dgm:presLayoutVars>
          <dgm:chMax val="0"/>
          <dgm:bulletEnabled val="1"/>
        </dgm:presLayoutVars>
      </dgm:prSet>
      <dgm:spPr/>
    </dgm:pt>
    <dgm:pt modelId="{0862C50F-306A-4E6B-A23B-07B15ECDE9F7}" type="pres">
      <dgm:prSet presAssocID="{8069E184-766F-4E8B-A1E8-51EDBCF8B787}" presName="negativeSpace" presStyleCnt="0"/>
      <dgm:spPr/>
    </dgm:pt>
    <dgm:pt modelId="{BEC4ABD6-0E89-47BE-B95E-5D5D71B73DA1}" type="pres">
      <dgm:prSet presAssocID="{8069E184-766F-4E8B-A1E8-51EDBCF8B787}" presName="childText" presStyleLbl="conFgAcc1" presStyleIdx="1" presStyleCnt="7" custLinFactNeighborY="66562">
        <dgm:presLayoutVars>
          <dgm:bulletEnabled val="1"/>
        </dgm:presLayoutVars>
      </dgm:prSet>
      <dgm:spPr/>
    </dgm:pt>
    <dgm:pt modelId="{BEB87FCE-F499-4870-8AB0-98F9F509D50E}" type="pres">
      <dgm:prSet presAssocID="{93F1D987-E557-4E03-8C29-D08B5E8AAD1B}" presName="spaceBetweenRectangles" presStyleCnt="0"/>
      <dgm:spPr/>
    </dgm:pt>
    <dgm:pt modelId="{3AA816E6-3A8D-45C3-B0AF-DCE6C0F7D52F}" type="pres">
      <dgm:prSet presAssocID="{717ECC8B-6813-4A27-9DC1-A0349E570257}" presName="parentLin" presStyleCnt="0"/>
      <dgm:spPr/>
    </dgm:pt>
    <dgm:pt modelId="{9702987D-0E97-487C-8CCC-50D92DF3BD3E}" type="pres">
      <dgm:prSet presAssocID="{717ECC8B-6813-4A27-9DC1-A0349E570257}" presName="parentLeftMargin" presStyleLbl="node1" presStyleIdx="1" presStyleCnt="7"/>
      <dgm:spPr/>
    </dgm:pt>
    <dgm:pt modelId="{2F94551E-AD58-4389-A867-ACC7E854241D}" type="pres">
      <dgm:prSet presAssocID="{717ECC8B-6813-4A27-9DC1-A0349E570257}" presName="parentText" presStyleLbl="node1" presStyleIdx="2" presStyleCnt="7" custLinFactNeighborX="-3930" custLinFactNeighborY="9302">
        <dgm:presLayoutVars>
          <dgm:chMax val="0"/>
          <dgm:bulletEnabled val="1"/>
        </dgm:presLayoutVars>
      </dgm:prSet>
      <dgm:spPr/>
    </dgm:pt>
    <dgm:pt modelId="{0B0D6F0B-4DEB-4B88-B257-B59830E60C59}" type="pres">
      <dgm:prSet presAssocID="{717ECC8B-6813-4A27-9DC1-A0349E570257}" presName="negativeSpace" presStyleCnt="0"/>
      <dgm:spPr/>
    </dgm:pt>
    <dgm:pt modelId="{3BC1BA34-3099-48F7-ADCC-C59CA8F05523}" type="pres">
      <dgm:prSet presAssocID="{717ECC8B-6813-4A27-9DC1-A0349E570257}" presName="childText" presStyleLbl="conFgAcc1" presStyleIdx="2" presStyleCnt="7" custScaleY="93432" custLinFactNeighborY="66561">
        <dgm:presLayoutVars>
          <dgm:bulletEnabled val="1"/>
        </dgm:presLayoutVars>
      </dgm:prSet>
      <dgm:spPr/>
    </dgm:pt>
    <dgm:pt modelId="{ED98C6C5-10F9-43FD-B588-4DD8CA453F1D}" type="pres">
      <dgm:prSet presAssocID="{60E19195-CF68-47DE-9785-66C048977208}" presName="spaceBetweenRectangles" presStyleCnt="0"/>
      <dgm:spPr/>
    </dgm:pt>
    <dgm:pt modelId="{15A1C469-7C3A-4EBC-B23A-4CE4DD373580}" type="pres">
      <dgm:prSet presAssocID="{D67F9A5A-5E88-44A1-939C-135CE3AF4041}" presName="parentLin" presStyleCnt="0"/>
      <dgm:spPr/>
    </dgm:pt>
    <dgm:pt modelId="{3B8B29A2-8F27-4747-815F-4C192BC39EFB}" type="pres">
      <dgm:prSet presAssocID="{D67F9A5A-5E88-44A1-939C-135CE3AF4041}" presName="parentLeftMargin" presStyleLbl="node1" presStyleIdx="2" presStyleCnt="7"/>
      <dgm:spPr/>
    </dgm:pt>
    <dgm:pt modelId="{514BAA5A-25A1-407B-9E98-4F585743FC17}" type="pres">
      <dgm:prSet presAssocID="{D67F9A5A-5E88-44A1-939C-135CE3AF4041}" presName="parentText" presStyleLbl="node1" presStyleIdx="3" presStyleCnt="7" custLinFactNeighborY="9302">
        <dgm:presLayoutVars>
          <dgm:chMax val="0"/>
          <dgm:bulletEnabled val="1"/>
        </dgm:presLayoutVars>
      </dgm:prSet>
      <dgm:spPr/>
    </dgm:pt>
    <dgm:pt modelId="{584AD0D6-0EBE-40B3-A5EF-BEFBE1FDD233}" type="pres">
      <dgm:prSet presAssocID="{D67F9A5A-5E88-44A1-939C-135CE3AF4041}" presName="negativeSpace" presStyleCnt="0"/>
      <dgm:spPr/>
    </dgm:pt>
    <dgm:pt modelId="{06ACE6F8-0FA9-44AE-BA37-8718AB57D422}" type="pres">
      <dgm:prSet presAssocID="{D67F9A5A-5E88-44A1-939C-135CE3AF4041}" presName="childText" presStyleLbl="conFgAcc1" presStyleIdx="3" presStyleCnt="7" custLinFactY="571" custLinFactNeighborY="100000">
        <dgm:presLayoutVars>
          <dgm:bulletEnabled val="1"/>
        </dgm:presLayoutVars>
      </dgm:prSet>
      <dgm:spPr/>
    </dgm:pt>
    <dgm:pt modelId="{728F8364-6B69-4FB1-8CEE-FE0453B48F74}" type="pres">
      <dgm:prSet presAssocID="{5865B6AA-9A9D-46ED-B85D-61C566F91B2B}" presName="spaceBetweenRectangles" presStyleCnt="0"/>
      <dgm:spPr/>
    </dgm:pt>
    <dgm:pt modelId="{2FED5211-A15F-4937-8626-A219A5AF8F6A}" type="pres">
      <dgm:prSet presAssocID="{CF4F553E-C1BC-4366-8D1F-2538C739F34D}" presName="parentLin" presStyleCnt="0"/>
      <dgm:spPr/>
    </dgm:pt>
    <dgm:pt modelId="{96E24B0A-8F37-4257-B7B3-645FB1DA6A85}" type="pres">
      <dgm:prSet presAssocID="{CF4F553E-C1BC-4366-8D1F-2538C739F34D}" presName="parentLeftMargin" presStyleLbl="node1" presStyleIdx="3" presStyleCnt="7"/>
      <dgm:spPr/>
    </dgm:pt>
    <dgm:pt modelId="{72C2FA48-4513-4CD5-8267-CAFA222E040F}" type="pres">
      <dgm:prSet presAssocID="{CF4F553E-C1BC-4366-8D1F-2538C739F34D}" presName="parentText" presStyleLbl="node1" presStyleIdx="4" presStyleCnt="7" custLinFactNeighborX="-3930" custLinFactNeighborY="15503">
        <dgm:presLayoutVars>
          <dgm:chMax val="0"/>
          <dgm:bulletEnabled val="1"/>
        </dgm:presLayoutVars>
      </dgm:prSet>
      <dgm:spPr/>
    </dgm:pt>
    <dgm:pt modelId="{C5574D53-E5B2-4961-BC19-B9AEEE8D8A74}" type="pres">
      <dgm:prSet presAssocID="{CF4F553E-C1BC-4366-8D1F-2538C739F34D}" presName="negativeSpace" presStyleCnt="0"/>
      <dgm:spPr/>
    </dgm:pt>
    <dgm:pt modelId="{4EFCDA67-9C44-44DD-A910-D775D3C6B542}" type="pres">
      <dgm:prSet presAssocID="{CF4F553E-C1BC-4366-8D1F-2538C739F34D}" presName="childText" presStyleLbl="conFgAcc1" presStyleIdx="4" presStyleCnt="7" custScaleY="87228" custLinFactNeighborY="79873">
        <dgm:presLayoutVars>
          <dgm:bulletEnabled val="1"/>
        </dgm:presLayoutVars>
      </dgm:prSet>
      <dgm:spPr/>
    </dgm:pt>
    <dgm:pt modelId="{44903029-1598-44FF-927B-4388D5E8763C}" type="pres">
      <dgm:prSet presAssocID="{94558B0E-E006-4B59-8C83-CEE5060F8235}" presName="spaceBetweenRectangles" presStyleCnt="0"/>
      <dgm:spPr/>
    </dgm:pt>
    <dgm:pt modelId="{86EE8AB6-545B-4020-AEC6-19F34F74D919}" type="pres">
      <dgm:prSet presAssocID="{0E652C00-4F5E-4225-B0DE-1E16E467F052}" presName="parentLin" presStyleCnt="0"/>
      <dgm:spPr/>
    </dgm:pt>
    <dgm:pt modelId="{C7C02459-324F-4CBA-B9A7-D10266029FAC}" type="pres">
      <dgm:prSet presAssocID="{0E652C00-4F5E-4225-B0DE-1E16E467F052}" presName="parentLeftMargin" presStyleLbl="node1" presStyleIdx="4" presStyleCnt="7"/>
      <dgm:spPr/>
    </dgm:pt>
    <dgm:pt modelId="{4E9F94DE-8CF1-4FE7-9A6B-53CB416743FC}" type="pres">
      <dgm:prSet presAssocID="{0E652C00-4F5E-4225-B0DE-1E16E467F052}" presName="parentText" presStyleLbl="node1" presStyleIdx="5" presStyleCnt="7" custLinFactNeighborY="12402">
        <dgm:presLayoutVars>
          <dgm:chMax val="0"/>
          <dgm:bulletEnabled val="1"/>
        </dgm:presLayoutVars>
      </dgm:prSet>
      <dgm:spPr/>
    </dgm:pt>
    <dgm:pt modelId="{DD8C64AD-F0AB-4DAF-BD3D-6848B3517AE4}" type="pres">
      <dgm:prSet presAssocID="{0E652C00-4F5E-4225-B0DE-1E16E467F052}" presName="negativeSpace" presStyleCnt="0"/>
      <dgm:spPr/>
    </dgm:pt>
    <dgm:pt modelId="{FA8C06B1-BAA1-4827-A601-D14B18466DB6}" type="pres">
      <dgm:prSet presAssocID="{0E652C00-4F5E-4225-B0DE-1E16E467F052}" presName="childText" presStyleLbl="conFgAcc1" presStyleIdx="5" presStyleCnt="7" custLinFactNeighborY="66562">
        <dgm:presLayoutVars>
          <dgm:bulletEnabled val="1"/>
        </dgm:presLayoutVars>
      </dgm:prSet>
      <dgm:spPr/>
    </dgm:pt>
    <dgm:pt modelId="{D62CC520-BE4A-45F5-85CF-6F1FF6479E7B}" type="pres">
      <dgm:prSet presAssocID="{49049186-C28C-4B3F-A75E-A3310F719D8A}" presName="spaceBetweenRectangles" presStyleCnt="0"/>
      <dgm:spPr/>
    </dgm:pt>
    <dgm:pt modelId="{0ACFCED0-6DBF-47C9-BEFF-1C22DE7DB9F3}" type="pres">
      <dgm:prSet presAssocID="{38D6ECF3-9DC0-4FA5-AA85-AE678086D86F}" presName="parentLin" presStyleCnt="0"/>
      <dgm:spPr/>
    </dgm:pt>
    <dgm:pt modelId="{A03587EF-2C72-4284-B879-B71BE0640BA4}" type="pres">
      <dgm:prSet presAssocID="{38D6ECF3-9DC0-4FA5-AA85-AE678086D86F}" presName="parentLeftMargin" presStyleLbl="node1" presStyleIdx="5" presStyleCnt="7"/>
      <dgm:spPr/>
    </dgm:pt>
    <dgm:pt modelId="{0BB363C2-1000-4D63-89E1-75C121258685}" type="pres">
      <dgm:prSet presAssocID="{38D6ECF3-9DC0-4FA5-AA85-AE678086D86F}" presName="parentText" presStyleLbl="node1" presStyleIdx="6" presStyleCnt="7" custLinFactNeighborX="3930" custLinFactNeighborY="12402">
        <dgm:presLayoutVars>
          <dgm:chMax val="0"/>
          <dgm:bulletEnabled val="1"/>
        </dgm:presLayoutVars>
      </dgm:prSet>
      <dgm:spPr/>
    </dgm:pt>
    <dgm:pt modelId="{C9B2B30D-0668-43BB-8909-432202A9EDB4}" type="pres">
      <dgm:prSet presAssocID="{38D6ECF3-9DC0-4FA5-AA85-AE678086D86F}" presName="negativeSpace" presStyleCnt="0"/>
      <dgm:spPr/>
    </dgm:pt>
    <dgm:pt modelId="{77262FC2-D56C-47EC-A6D3-390D5DF0E708}" type="pres">
      <dgm:prSet presAssocID="{38D6ECF3-9DC0-4FA5-AA85-AE678086D86F}" presName="childText" presStyleLbl="conFgAcc1" presStyleIdx="6" presStyleCnt="7" custLinFactNeighborY="19481">
        <dgm:presLayoutVars>
          <dgm:bulletEnabled val="1"/>
        </dgm:presLayoutVars>
      </dgm:prSet>
      <dgm:spPr/>
    </dgm:pt>
  </dgm:ptLst>
  <dgm:cxnLst>
    <dgm:cxn modelId="{86BCD402-AC25-4EFC-9A1D-FA632AC7B6B7}" type="presOf" srcId="{D67F9A5A-5E88-44A1-939C-135CE3AF4041}" destId="{514BAA5A-25A1-407B-9E98-4F585743FC17}" srcOrd="1" destOrd="0" presId="urn:microsoft.com/office/officeart/2005/8/layout/list1"/>
    <dgm:cxn modelId="{86FF9304-A88E-4E74-AECB-FD793CD64EBE}" srcId="{717ECC8B-6813-4A27-9DC1-A0349E570257}" destId="{90932CD4-98AF-4D20-B3A5-3F4217DAB33C}" srcOrd="0" destOrd="0" parTransId="{D4A14047-4231-4EAE-82B4-884A078437F6}" sibTransId="{678DBBEA-15F8-4CEC-BE62-3B0B23BED2F8}"/>
    <dgm:cxn modelId="{1FF54305-BFB2-4855-ACDA-8F153FA4F52D}" type="presOf" srcId="{8069E184-766F-4E8B-A1E8-51EDBCF8B787}" destId="{8FFBFEAB-4C29-43E1-9195-E019257224C0}" srcOrd="0" destOrd="0" presId="urn:microsoft.com/office/officeart/2005/8/layout/list1"/>
    <dgm:cxn modelId="{39949B06-98CA-426A-A4A6-EA0210D2BAFD}" type="presOf" srcId="{DCD48D7A-4B03-4423-8CB5-5C5D79405805}" destId="{1DEF4F99-0D10-4E54-A0BF-F9524F830250}" srcOrd="0" destOrd="0" presId="urn:microsoft.com/office/officeart/2005/8/layout/list1"/>
    <dgm:cxn modelId="{09C94807-2443-4E06-A6A2-8ACA048AF36F}" type="presOf" srcId="{0E652C00-4F5E-4225-B0DE-1E16E467F052}" destId="{4E9F94DE-8CF1-4FE7-9A6B-53CB416743FC}" srcOrd="1" destOrd="0" presId="urn:microsoft.com/office/officeart/2005/8/layout/list1"/>
    <dgm:cxn modelId="{E56EA914-32FC-4F01-AE21-F02AF3BAD451}" srcId="{DCD48D7A-4B03-4423-8CB5-5C5D79405805}" destId="{D67F9A5A-5E88-44A1-939C-135CE3AF4041}" srcOrd="3" destOrd="0" parTransId="{147BBB2B-EBFD-43A6-B289-2DA32B306280}" sibTransId="{5865B6AA-9A9D-46ED-B85D-61C566F91B2B}"/>
    <dgm:cxn modelId="{84B27017-A550-4955-B34A-A6F39E2DEC14}" srcId="{38D6ECF3-9DC0-4FA5-AA85-AE678086D86F}" destId="{7AD3D970-693A-46CB-93F2-8719BB4A2138}" srcOrd="0" destOrd="0" parTransId="{76659B4B-2119-4F3E-A632-F083A9E2AF61}" sibTransId="{004D6EF7-97F6-4EB3-9B3E-229E15C08DFD}"/>
    <dgm:cxn modelId="{81798117-7F32-4512-A9BE-FB15A365DCF2}" type="presOf" srcId="{477C0414-2F64-47A3-9675-FE2E4F8C4A83}" destId="{06ACE6F8-0FA9-44AE-BA37-8718AB57D422}" srcOrd="0" destOrd="3" presId="urn:microsoft.com/office/officeart/2005/8/layout/list1"/>
    <dgm:cxn modelId="{DF270C1B-8DAC-4DC2-9C2B-404524166343}" srcId="{DCD48D7A-4B03-4423-8CB5-5C5D79405805}" destId="{2CB7F8B1-2637-4408-9185-3A95A2E4D4D4}" srcOrd="0" destOrd="0" parTransId="{64144A9E-10F1-4862-BFC7-09D5896ACB2E}" sibTransId="{1E2C00AA-92AD-4DFD-ADBE-9EE00E1BF72B}"/>
    <dgm:cxn modelId="{228A001C-DFEF-4BA8-8945-6B052FD3DB06}" srcId="{DCD48D7A-4B03-4423-8CB5-5C5D79405805}" destId="{38D6ECF3-9DC0-4FA5-AA85-AE678086D86F}" srcOrd="6" destOrd="0" parTransId="{CA07B11D-A281-4474-956D-CE017D55096D}" sibTransId="{23F1DCF5-3AF5-46F5-8EBA-1B227FFDA68A}"/>
    <dgm:cxn modelId="{64B9461D-EAC6-4AD6-8946-7E802054283C}" srcId="{D67F9A5A-5E88-44A1-939C-135CE3AF4041}" destId="{CF379588-8D99-446E-9DA3-7D31B1AC5467}" srcOrd="0" destOrd="0" parTransId="{C53496FF-16AA-4B86-9A97-C210D3425615}" sibTransId="{FA04A515-77A5-47E1-9A21-427002F75BBD}"/>
    <dgm:cxn modelId="{0F5FD01F-7C50-4552-ACA8-1BCD7B93BC0C}" type="presOf" srcId="{275C1FC4-3E17-4EB7-B629-3B18A2C22A68}" destId="{3BC1BA34-3099-48F7-ADCC-C59CA8F05523}" srcOrd="0" destOrd="5" presId="urn:microsoft.com/office/officeart/2005/8/layout/list1"/>
    <dgm:cxn modelId="{ABA36423-4ADF-4BC2-B9D4-4551354C1F10}" srcId="{DCD48D7A-4B03-4423-8CB5-5C5D79405805}" destId="{0E652C00-4F5E-4225-B0DE-1E16E467F052}" srcOrd="5" destOrd="0" parTransId="{6B4BA892-C7B2-40DA-97EE-3611027033ED}" sibTransId="{49049186-C28C-4B3F-A75E-A3310F719D8A}"/>
    <dgm:cxn modelId="{C7F3AF26-7028-4FBC-A3B8-442CFA4F4A7F}" type="presOf" srcId="{4A7800C9-7D3D-4FD3-A0C8-055EA574631C}" destId="{3BC1BA34-3099-48F7-ADCC-C59CA8F05523}" srcOrd="0" destOrd="1" presId="urn:microsoft.com/office/officeart/2005/8/layout/list1"/>
    <dgm:cxn modelId="{FAE50C2E-D4BD-46F3-ACBD-9DE02637A7D6}" srcId="{CF4F553E-C1BC-4366-8D1F-2538C739F34D}" destId="{C14DAE80-C9AD-4DF2-AB00-76A03871C660}" srcOrd="0" destOrd="0" parTransId="{1B35EC25-3A5D-44C3-8EC6-1F67B5E94F65}" sibTransId="{EB3C29DE-5BFD-45F2-B15E-ED5B03F68740}"/>
    <dgm:cxn modelId="{3F409E34-BFAE-45FE-A027-0ABAC99B8A84}" srcId="{38D6ECF3-9DC0-4FA5-AA85-AE678086D86F}" destId="{92E8A65F-F99F-488E-AF0A-565C72278797}" srcOrd="1" destOrd="0" parTransId="{66E38FC8-C18A-470F-A205-AE2365A9DE78}" sibTransId="{B79C7341-D380-4E6F-A6A3-3F12A56CC081}"/>
    <dgm:cxn modelId="{E923423D-189A-42D5-94FC-8E1EFC60C632}" type="presOf" srcId="{D49A736D-D090-4C3F-B7C8-90E12189F4E6}" destId="{35D5CD7D-3A20-4EB8-B442-65E54571D39E}" srcOrd="0" destOrd="0" presId="urn:microsoft.com/office/officeart/2005/8/layout/list1"/>
    <dgm:cxn modelId="{3BF7423E-3DB0-4A87-A18C-2FC41867B2B4}" srcId="{8069E184-766F-4E8B-A1E8-51EDBCF8B787}" destId="{4E33CAE3-BFA7-460A-ADA1-9740AF500CD1}" srcOrd="0" destOrd="0" parTransId="{9DB4B8DC-C792-4F88-B9F0-3F8C466B68ED}" sibTransId="{4C4701A6-649F-4B75-8728-83D55A5A5663}"/>
    <dgm:cxn modelId="{6E3F353F-69A6-470A-90DF-68C45401EC8C}" type="presOf" srcId="{CF4F553E-C1BC-4366-8D1F-2538C739F34D}" destId="{96E24B0A-8F37-4257-B7B3-645FB1DA6A85}" srcOrd="0" destOrd="0" presId="urn:microsoft.com/office/officeart/2005/8/layout/list1"/>
    <dgm:cxn modelId="{53E3005D-DDEB-4AC2-998E-187B375B14B2}" type="presOf" srcId="{4E33CAE3-BFA7-460A-ADA1-9740AF500CD1}" destId="{BEC4ABD6-0E89-47BE-B95E-5D5D71B73DA1}" srcOrd="0" destOrd="0" presId="urn:microsoft.com/office/officeart/2005/8/layout/list1"/>
    <dgm:cxn modelId="{387F9B62-BA72-46DA-93B7-D805807BFC03}" srcId="{717ECC8B-6813-4A27-9DC1-A0349E570257}" destId="{275C1FC4-3E17-4EB7-B629-3B18A2C22A68}" srcOrd="5" destOrd="0" parTransId="{47FF5181-689E-402C-BA5E-A7F036D82964}" sibTransId="{BD9B50B6-A249-4B4C-A504-6B8A26A3E4B7}"/>
    <dgm:cxn modelId="{66F80349-2184-4386-B9D3-B0DFF876CB84}" srcId="{0E652C00-4F5E-4225-B0DE-1E16E467F052}" destId="{6632AE42-4A3F-47A4-991F-05B67D9E15A4}" srcOrd="1" destOrd="0" parTransId="{EA24CD28-DA30-489E-812A-8D006AD804E2}" sibTransId="{413A0DEC-0431-4D0A-9CF6-9F28DD448962}"/>
    <dgm:cxn modelId="{91767749-E65F-449F-BD07-C9B78444673B}" type="presOf" srcId="{8069E184-766F-4E8B-A1E8-51EDBCF8B787}" destId="{C4175353-957F-4B0A-882A-9D65932C4C45}" srcOrd="1" destOrd="0" presId="urn:microsoft.com/office/officeart/2005/8/layout/list1"/>
    <dgm:cxn modelId="{14F3064A-33D5-4A50-A94F-22EB976BA100}" type="presOf" srcId="{789B5BC8-288B-4DDA-AB25-039F66BEA3B1}" destId="{35D5CD7D-3A20-4EB8-B442-65E54571D39E}" srcOrd="0" destOrd="1" presId="urn:microsoft.com/office/officeart/2005/8/layout/list1"/>
    <dgm:cxn modelId="{31AA144C-E5AF-41D8-8CB7-8A2D48F310D0}" type="presOf" srcId="{51776FAA-A67F-43C9-93A9-09460B1195D0}" destId="{06ACE6F8-0FA9-44AE-BA37-8718AB57D422}" srcOrd="0" destOrd="2" presId="urn:microsoft.com/office/officeart/2005/8/layout/list1"/>
    <dgm:cxn modelId="{47FA276C-8AB9-4C50-93CB-3C240B93E4C4}" srcId="{8069E184-766F-4E8B-A1E8-51EDBCF8B787}" destId="{C8F6D009-A118-4555-A677-CBA61BF6F0D5}" srcOrd="2" destOrd="0" parTransId="{C71E5930-069B-45A4-B7EB-02FF81630C0E}" sibTransId="{EC10895F-10B2-42FD-BCC8-4993E1130164}"/>
    <dgm:cxn modelId="{3673614D-FB3D-4D84-B4D5-C1C1FEB93DC6}" srcId="{D67F9A5A-5E88-44A1-939C-135CE3AF4041}" destId="{477C0414-2F64-47A3-9675-FE2E4F8C4A83}" srcOrd="3" destOrd="0" parTransId="{211F0972-F335-42CF-8898-D6AD2F24BDF4}" sibTransId="{8249E61B-7B06-45EC-87B1-4624BFB202FC}"/>
    <dgm:cxn modelId="{10D3294F-F4FE-4252-AA72-A2630A60CBB1}" type="presOf" srcId="{CF4F553E-C1BC-4366-8D1F-2538C739F34D}" destId="{72C2FA48-4513-4CD5-8267-CAFA222E040F}" srcOrd="1" destOrd="0" presId="urn:microsoft.com/office/officeart/2005/8/layout/list1"/>
    <dgm:cxn modelId="{CBF95272-9C66-408A-9CF3-C7F12DD60BBE}" srcId="{CF4F553E-C1BC-4366-8D1F-2538C739F34D}" destId="{2DDC3C6B-EB89-41BC-9626-2C8602AFD180}" srcOrd="2" destOrd="0" parTransId="{8CA01F60-749A-4F13-A5F9-52959A1E5ACD}" sibTransId="{4EF9A5D6-D9ED-4637-A11E-A0AF0603FCE7}"/>
    <dgm:cxn modelId="{5106C352-9084-428F-ABCE-4715AAA43E33}" type="presOf" srcId="{29647C36-AD56-480A-B274-AFD85B8257AC}" destId="{77262FC2-D56C-47EC-A6D3-390D5DF0E708}" srcOrd="0" destOrd="2" presId="urn:microsoft.com/office/officeart/2005/8/layout/list1"/>
    <dgm:cxn modelId="{4C31F452-932E-4B3C-A24D-BB317566F188}" type="presOf" srcId="{08ED7DEB-8B98-40A9-9699-ACCFB829DBE2}" destId="{BEC4ABD6-0E89-47BE-B95E-5D5D71B73DA1}" srcOrd="0" destOrd="1" presId="urn:microsoft.com/office/officeart/2005/8/layout/list1"/>
    <dgm:cxn modelId="{C57E6554-2260-4CA8-9E7D-8591D135E53F}" srcId="{2CB7F8B1-2637-4408-9185-3A95A2E4D4D4}" destId="{98B28FD7-1DA8-4B1D-A743-BD64C0AAE85A}" srcOrd="2" destOrd="0" parTransId="{6A5ADD14-5B36-4C8F-9B65-6460DDCE482E}" sibTransId="{55643889-0069-4635-8EFF-361433B6492D}"/>
    <dgm:cxn modelId="{56BF2655-C497-4B6B-B54F-A5D6AF560C8B}" type="presOf" srcId="{6632AE42-4A3F-47A4-991F-05B67D9E15A4}" destId="{FA8C06B1-BAA1-4827-A601-D14B18466DB6}" srcOrd="0" destOrd="1" presId="urn:microsoft.com/office/officeart/2005/8/layout/list1"/>
    <dgm:cxn modelId="{A2827875-87B0-4C3D-9E40-622962BC691D}" srcId="{DCD48D7A-4B03-4423-8CB5-5C5D79405805}" destId="{8069E184-766F-4E8B-A1E8-51EDBCF8B787}" srcOrd="1" destOrd="0" parTransId="{F64789F9-D1CE-4AFA-889E-41DC5016CFAB}" sibTransId="{93F1D987-E557-4E03-8C29-D08B5E8AAD1B}"/>
    <dgm:cxn modelId="{A43DF155-EDED-4348-8849-3FB54F8752F4}" srcId="{0E652C00-4F5E-4225-B0DE-1E16E467F052}" destId="{FDC96EDD-2D2E-424F-9793-6C67FBB810DD}" srcOrd="0" destOrd="0" parTransId="{C0F088F2-D816-422B-A598-8465D4C16265}" sibTransId="{D85BC74A-2C14-4596-B306-9B50E9FDF986}"/>
    <dgm:cxn modelId="{9515F576-512B-4C41-9F47-3A4D09823602}" type="presOf" srcId="{FDC96EDD-2D2E-424F-9793-6C67FBB810DD}" destId="{FA8C06B1-BAA1-4827-A601-D14B18466DB6}" srcOrd="0" destOrd="0" presId="urn:microsoft.com/office/officeart/2005/8/layout/list1"/>
    <dgm:cxn modelId="{F617155A-07A4-40C6-B9E5-6E820D5C2875}" srcId="{38D6ECF3-9DC0-4FA5-AA85-AE678086D86F}" destId="{29647C36-AD56-480A-B274-AFD85B8257AC}" srcOrd="2" destOrd="0" parTransId="{4CAE2BE9-B466-4310-88AB-C78BF23B7371}" sibTransId="{8B89DDF0-7CED-46E8-8F61-0B17466698FF}"/>
    <dgm:cxn modelId="{D226197F-CE6B-4E8C-8CDE-97726899C8AD}" type="presOf" srcId="{FB36F50F-332B-41E1-B818-61C37228C5CE}" destId="{4EFCDA67-9C44-44DD-A910-D775D3C6B542}" srcOrd="0" destOrd="1" presId="urn:microsoft.com/office/officeart/2005/8/layout/list1"/>
    <dgm:cxn modelId="{23E9C680-B431-4473-9AF5-E1D6CFC8BC2E}" type="presOf" srcId="{98B28FD7-1DA8-4B1D-A743-BD64C0AAE85A}" destId="{35D5CD7D-3A20-4EB8-B442-65E54571D39E}" srcOrd="0" destOrd="2" presId="urn:microsoft.com/office/officeart/2005/8/layout/list1"/>
    <dgm:cxn modelId="{6E1DD283-6A02-4C7B-967E-43E4F2241590}" srcId="{2CB7F8B1-2637-4408-9185-3A95A2E4D4D4}" destId="{D49A736D-D090-4C3F-B7C8-90E12189F4E6}" srcOrd="0" destOrd="0" parTransId="{6CB8211D-3027-42B8-8E1D-7F7CC0C2C2AF}" sibTransId="{085597EB-8A00-4F32-B9FE-6AE8F6AD66DB}"/>
    <dgm:cxn modelId="{49B31584-FEF4-4442-B336-882A9C197EAC}" type="presOf" srcId="{92E8A65F-F99F-488E-AF0A-565C72278797}" destId="{77262FC2-D56C-47EC-A6D3-390D5DF0E708}" srcOrd="0" destOrd="1" presId="urn:microsoft.com/office/officeart/2005/8/layout/list1"/>
    <dgm:cxn modelId="{72240C85-9D5C-458C-B319-EA4B04B6FA8A}" srcId="{D67F9A5A-5E88-44A1-939C-135CE3AF4041}" destId="{51776FAA-A67F-43C9-93A9-09460B1195D0}" srcOrd="2" destOrd="0" parTransId="{F49DC0A9-8665-4ADA-A379-AC107454A3ED}" sibTransId="{C8B4DFF5-5087-4292-AE4B-32507D166EBF}"/>
    <dgm:cxn modelId="{44A4FD8C-B715-4763-9E06-4EBC7F129D51}" srcId="{CF4F553E-C1BC-4366-8D1F-2538C739F34D}" destId="{FB36F50F-332B-41E1-B818-61C37228C5CE}" srcOrd="1" destOrd="0" parTransId="{1B402964-486C-4D88-B25B-BFBD3B7CB725}" sibTransId="{2F60FF59-EE81-4035-BCD0-A1A526D6233D}"/>
    <dgm:cxn modelId="{67B9198E-5C25-4F67-B9CB-41843459D987}" type="presOf" srcId="{C8F6D009-A118-4555-A677-CBA61BF6F0D5}" destId="{BEC4ABD6-0E89-47BE-B95E-5D5D71B73DA1}" srcOrd="0" destOrd="2" presId="urn:microsoft.com/office/officeart/2005/8/layout/list1"/>
    <dgm:cxn modelId="{E7A50992-9030-47C1-8E52-A2B896656A51}" type="presOf" srcId="{34106E7C-5D09-4727-92DE-E55E74AC51EE}" destId="{3BC1BA34-3099-48F7-ADCC-C59CA8F05523}" srcOrd="0" destOrd="4" presId="urn:microsoft.com/office/officeart/2005/8/layout/list1"/>
    <dgm:cxn modelId="{478F5893-B289-4B36-A04A-A02DEA40ACC3}" srcId="{8069E184-766F-4E8B-A1E8-51EDBCF8B787}" destId="{FFA71FF0-2ACD-4163-B043-1EB367B6C2B1}" srcOrd="3" destOrd="0" parTransId="{201802FC-6167-42F1-933E-394845600453}" sibTransId="{B39A6FB6-B160-47AD-A274-EF0DD243C32D}"/>
    <dgm:cxn modelId="{A8694B9B-DC05-4BB0-A409-CBB61FB7F639}" srcId="{2CB7F8B1-2637-4408-9185-3A95A2E4D4D4}" destId="{789B5BC8-288B-4DDA-AB25-039F66BEA3B1}" srcOrd="1" destOrd="0" parTransId="{20DF2F84-B159-462C-A073-B863B19CCFA9}" sibTransId="{F75FF99A-F150-48D0-B60B-5CB30D5A0E5A}"/>
    <dgm:cxn modelId="{B7FD2BA0-B80B-4666-86AB-099B7EA06341}" type="presOf" srcId="{E9D3C62B-362B-44C9-A42A-154B9DBAE91C}" destId="{FA8C06B1-BAA1-4827-A601-D14B18466DB6}" srcOrd="0" destOrd="2" presId="urn:microsoft.com/office/officeart/2005/8/layout/list1"/>
    <dgm:cxn modelId="{E88658A0-3BDE-454E-A794-8505E55DC105}" srcId="{DCD48D7A-4B03-4423-8CB5-5C5D79405805}" destId="{CF4F553E-C1BC-4366-8D1F-2538C739F34D}" srcOrd="4" destOrd="0" parTransId="{87729DE7-2820-4664-B237-4A95FE1E2F12}" sibTransId="{94558B0E-E006-4B59-8C83-CEE5060F8235}"/>
    <dgm:cxn modelId="{B6A3FAA2-72B7-4EDF-9F2B-07756CCFD145}" type="presOf" srcId="{0C7E1392-1B2E-4473-98A3-7DB95B0F3E41}" destId="{3BC1BA34-3099-48F7-ADCC-C59CA8F05523}" srcOrd="0" destOrd="3" presId="urn:microsoft.com/office/officeart/2005/8/layout/list1"/>
    <dgm:cxn modelId="{62C6A6A5-51AF-43F3-B103-5345821FAFEE}" srcId="{0E652C00-4F5E-4225-B0DE-1E16E467F052}" destId="{E9D3C62B-362B-44C9-A42A-154B9DBAE91C}" srcOrd="2" destOrd="0" parTransId="{C9AEF7BE-B561-478B-BAC4-CA5215113050}" sibTransId="{FFF495EB-AA84-4FB0-A607-B67EEC28EFF6}"/>
    <dgm:cxn modelId="{F5B463A9-1C63-49AF-836D-039CF3C3D222}" type="presOf" srcId="{CF379588-8D99-446E-9DA3-7D31B1AC5467}" destId="{06ACE6F8-0FA9-44AE-BA37-8718AB57D422}" srcOrd="0" destOrd="0" presId="urn:microsoft.com/office/officeart/2005/8/layout/list1"/>
    <dgm:cxn modelId="{C7759BAB-9FB4-42A6-99DA-5E5775983911}" type="presOf" srcId="{C14DAE80-C9AD-4DF2-AB00-76A03871C660}" destId="{4EFCDA67-9C44-44DD-A910-D775D3C6B542}" srcOrd="0" destOrd="0" presId="urn:microsoft.com/office/officeart/2005/8/layout/list1"/>
    <dgm:cxn modelId="{0CAB92AF-DA12-4A69-B592-C211B1603E46}" type="presOf" srcId="{F2356AF9-BEEF-4B44-8D11-6960D17AF916}" destId="{06ACE6F8-0FA9-44AE-BA37-8718AB57D422}" srcOrd="0" destOrd="1" presId="urn:microsoft.com/office/officeart/2005/8/layout/list1"/>
    <dgm:cxn modelId="{21FF54B0-7061-409D-AA77-9C011DC7E50B}" srcId="{717ECC8B-6813-4A27-9DC1-A0349E570257}" destId="{0C7E1392-1B2E-4473-98A3-7DB95B0F3E41}" srcOrd="3" destOrd="0" parTransId="{1BB85BBF-AE3C-4053-94E1-A07AA9D27118}" sibTransId="{170804D9-020B-4492-BDDC-2864E2B9B088}"/>
    <dgm:cxn modelId="{48FD79B7-0A80-4168-B74D-E45585C648D8}" srcId="{DCD48D7A-4B03-4423-8CB5-5C5D79405805}" destId="{717ECC8B-6813-4A27-9DC1-A0349E570257}" srcOrd="2" destOrd="0" parTransId="{D945DCAA-29DE-415E-9EC0-2EA9CDBA637F}" sibTransId="{60E19195-CF68-47DE-9785-66C048977208}"/>
    <dgm:cxn modelId="{794DEFC0-78A8-4CCF-9C86-48F2FE94417F}" type="presOf" srcId="{90932CD4-98AF-4D20-B3A5-3F4217DAB33C}" destId="{3BC1BA34-3099-48F7-ADCC-C59CA8F05523}" srcOrd="0" destOrd="0" presId="urn:microsoft.com/office/officeart/2005/8/layout/list1"/>
    <dgm:cxn modelId="{5B0414C2-1728-459D-B4A9-EB7A43C62996}" type="presOf" srcId="{717ECC8B-6813-4A27-9DC1-A0349E570257}" destId="{9702987D-0E97-487C-8CCC-50D92DF3BD3E}" srcOrd="0" destOrd="0" presId="urn:microsoft.com/office/officeart/2005/8/layout/list1"/>
    <dgm:cxn modelId="{5EFBE1C5-BAFA-4A4F-97DC-DCEC94D3930E}" type="presOf" srcId="{7AD3D970-693A-46CB-93F2-8719BB4A2138}" destId="{77262FC2-D56C-47EC-A6D3-390D5DF0E708}" srcOrd="0" destOrd="0" presId="urn:microsoft.com/office/officeart/2005/8/layout/list1"/>
    <dgm:cxn modelId="{B2CEC7D1-0EF3-43E8-A8C4-CA91F9F8B2C6}" srcId="{717ECC8B-6813-4A27-9DC1-A0349E570257}" destId="{320F87EC-CED1-4210-8A86-B8F3B4014BD7}" srcOrd="2" destOrd="0" parTransId="{3E66B59C-1F4A-4068-B805-1D0FD9DF5EB9}" sibTransId="{9C227A2C-DB8C-4F82-9033-31A1665D63A3}"/>
    <dgm:cxn modelId="{F0618CD4-2AC3-47D0-8F11-BACCD701AD92}" type="presOf" srcId="{717ECC8B-6813-4A27-9DC1-A0349E570257}" destId="{2F94551E-AD58-4389-A867-ACC7E854241D}" srcOrd="1" destOrd="0" presId="urn:microsoft.com/office/officeart/2005/8/layout/list1"/>
    <dgm:cxn modelId="{3C68E3D5-A553-46EE-8B80-FB51032E4800}" type="presOf" srcId="{2CB7F8B1-2637-4408-9185-3A95A2E4D4D4}" destId="{545F5493-E5D3-45CD-9407-AD3146FF5B66}" srcOrd="0" destOrd="0" presId="urn:microsoft.com/office/officeart/2005/8/layout/list1"/>
    <dgm:cxn modelId="{9A2394D6-DEA8-457C-A7F6-0CA60D78D7EA}" srcId="{8069E184-766F-4E8B-A1E8-51EDBCF8B787}" destId="{08ED7DEB-8B98-40A9-9699-ACCFB829DBE2}" srcOrd="1" destOrd="0" parTransId="{C96799B1-BF4C-4F01-9A1B-8BF2A3D32A1B}" sibTransId="{BC1C2EC9-649F-493C-B095-2F14FEE273F0}"/>
    <dgm:cxn modelId="{DB12D2DB-01C4-4C72-B613-D8E0FA85016F}" type="presOf" srcId="{D67F9A5A-5E88-44A1-939C-135CE3AF4041}" destId="{3B8B29A2-8F27-4747-815F-4C192BC39EFB}" srcOrd="0" destOrd="0" presId="urn:microsoft.com/office/officeart/2005/8/layout/list1"/>
    <dgm:cxn modelId="{AE5988E1-7C16-4B0A-ABF6-7C82ABA26687}" srcId="{2CB7F8B1-2637-4408-9185-3A95A2E4D4D4}" destId="{260FD557-A6C6-4FE3-8993-4A56E5810063}" srcOrd="3" destOrd="0" parTransId="{99DC8CBA-2F58-4241-815F-B0348FB0A095}" sibTransId="{F96C925A-00E1-4DCD-9FAA-8558FB848EF6}"/>
    <dgm:cxn modelId="{A78FA5E5-A2BA-4B5D-B58A-F79B8B58EBA0}" type="presOf" srcId="{2DDC3C6B-EB89-41BC-9626-2C8602AFD180}" destId="{4EFCDA67-9C44-44DD-A910-D775D3C6B542}" srcOrd="0" destOrd="2" presId="urn:microsoft.com/office/officeart/2005/8/layout/list1"/>
    <dgm:cxn modelId="{390B20E6-A9D0-40A0-91E1-C0FE58040D6E}" type="presOf" srcId="{260FD557-A6C6-4FE3-8993-4A56E5810063}" destId="{35D5CD7D-3A20-4EB8-B442-65E54571D39E}" srcOrd="0" destOrd="3" presId="urn:microsoft.com/office/officeart/2005/8/layout/list1"/>
    <dgm:cxn modelId="{6ECE81EC-BB4B-453C-92DD-2559DD914CE7}" type="presOf" srcId="{2CB7F8B1-2637-4408-9185-3A95A2E4D4D4}" destId="{E6E34545-7A70-45F5-AF30-5300FEAF0CB4}" srcOrd="1" destOrd="0" presId="urn:microsoft.com/office/officeart/2005/8/layout/list1"/>
    <dgm:cxn modelId="{C0D90BEF-14F4-437B-ACE6-480F7ECC25D2}" type="presOf" srcId="{38D6ECF3-9DC0-4FA5-AA85-AE678086D86F}" destId="{0BB363C2-1000-4D63-89E1-75C121258685}" srcOrd="1" destOrd="0" presId="urn:microsoft.com/office/officeart/2005/8/layout/list1"/>
    <dgm:cxn modelId="{AF2C1DF1-0917-4A12-AD82-87034F4AA6BD}" srcId="{717ECC8B-6813-4A27-9DC1-A0349E570257}" destId="{4A7800C9-7D3D-4FD3-A0C8-055EA574631C}" srcOrd="1" destOrd="0" parTransId="{E88C88D6-C647-44AC-8F34-1CDDF9D56EAE}" sibTransId="{011E79F5-D3D2-430D-AB83-E364AA563D3C}"/>
    <dgm:cxn modelId="{B83F70F1-0D48-4D91-8D66-89823BD64B2E}" type="presOf" srcId="{0E652C00-4F5E-4225-B0DE-1E16E467F052}" destId="{C7C02459-324F-4CBA-B9A7-D10266029FAC}" srcOrd="0" destOrd="0" presId="urn:microsoft.com/office/officeart/2005/8/layout/list1"/>
    <dgm:cxn modelId="{954406F2-1B59-4EB7-8571-C1BB56C70C82}" type="presOf" srcId="{320F87EC-CED1-4210-8A86-B8F3B4014BD7}" destId="{3BC1BA34-3099-48F7-ADCC-C59CA8F05523}" srcOrd="0" destOrd="2" presId="urn:microsoft.com/office/officeart/2005/8/layout/list1"/>
    <dgm:cxn modelId="{952D29FA-01DB-4FF4-B950-87A63CC80292}" srcId="{D67F9A5A-5E88-44A1-939C-135CE3AF4041}" destId="{F2356AF9-BEEF-4B44-8D11-6960D17AF916}" srcOrd="1" destOrd="0" parTransId="{30965C44-C041-42DC-BEED-B4376C8E6B72}" sibTransId="{B601354C-9FC2-4283-877B-28B5BED5CBBC}"/>
    <dgm:cxn modelId="{6C6EB5FC-FF88-485A-AB17-1DEBD14B1B4D}" srcId="{717ECC8B-6813-4A27-9DC1-A0349E570257}" destId="{34106E7C-5D09-4727-92DE-E55E74AC51EE}" srcOrd="4" destOrd="0" parTransId="{9975E2E8-9436-4F43-A130-25EADB8F15E6}" sibTransId="{55FD3231-A594-44A3-9758-E80BFF642EBF}"/>
    <dgm:cxn modelId="{01DF30FD-85F5-4932-8A85-620FE2B1C5CA}" type="presOf" srcId="{38D6ECF3-9DC0-4FA5-AA85-AE678086D86F}" destId="{A03587EF-2C72-4284-B879-B71BE0640BA4}" srcOrd="0" destOrd="0" presId="urn:microsoft.com/office/officeart/2005/8/layout/list1"/>
    <dgm:cxn modelId="{904368FD-DC32-48DB-BD7A-883A171FA293}" type="presOf" srcId="{FFA71FF0-2ACD-4163-B043-1EB367B6C2B1}" destId="{BEC4ABD6-0E89-47BE-B95E-5D5D71B73DA1}" srcOrd="0" destOrd="3" presId="urn:microsoft.com/office/officeart/2005/8/layout/list1"/>
    <dgm:cxn modelId="{B92E7B5B-5ADE-4591-92A7-719245B2AD0F}" type="presParOf" srcId="{1DEF4F99-0D10-4E54-A0BF-F9524F830250}" destId="{2FA5CF8F-DEE2-445C-8A9F-A5B19AA1EC66}" srcOrd="0" destOrd="0" presId="urn:microsoft.com/office/officeart/2005/8/layout/list1"/>
    <dgm:cxn modelId="{E8ACEB03-8C11-48E0-9F89-798762753AAF}" type="presParOf" srcId="{2FA5CF8F-DEE2-445C-8A9F-A5B19AA1EC66}" destId="{545F5493-E5D3-45CD-9407-AD3146FF5B66}" srcOrd="0" destOrd="0" presId="urn:microsoft.com/office/officeart/2005/8/layout/list1"/>
    <dgm:cxn modelId="{F7976DD7-6148-49DF-AE30-6575657687AC}" type="presParOf" srcId="{2FA5CF8F-DEE2-445C-8A9F-A5B19AA1EC66}" destId="{E6E34545-7A70-45F5-AF30-5300FEAF0CB4}" srcOrd="1" destOrd="0" presId="urn:microsoft.com/office/officeart/2005/8/layout/list1"/>
    <dgm:cxn modelId="{46349CF9-996B-4C69-8A51-D2A91B59E194}" type="presParOf" srcId="{1DEF4F99-0D10-4E54-A0BF-F9524F830250}" destId="{EF9B6E2C-EF0B-4D48-9074-55D69A90DE21}" srcOrd="1" destOrd="0" presId="urn:microsoft.com/office/officeart/2005/8/layout/list1"/>
    <dgm:cxn modelId="{17DBD6AA-7E6F-4A9B-B67D-F3A8A7577728}" type="presParOf" srcId="{1DEF4F99-0D10-4E54-A0BF-F9524F830250}" destId="{35D5CD7D-3A20-4EB8-B442-65E54571D39E}" srcOrd="2" destOrd="0" presId="urn:microsoft.com/office/officeart/2005/8/layout/list1"/>
    <dgm:cxn modelId="{1C37A869-82FE-4B80-BDF5-6ED5C6B5066A}" type="presParOf" srcId="{1DEF4F99-0D10-4E54-A0BF-F9524F830250}" destId="{AB83843B-19AA-4C45-ACB9-0772D543D28B}" srcOrd="3" destOrd="0" presId="urn:microsoft.com/office/officeart/2005/8/layout/list1"/>
    <dgm:cxn modelId="{01F7941A-C1DC-400C-A22E-08098C557A99}" type="presParOf" srcId="{1DEF4F99-0D10-4E54-A0BF-F9524F830250}" destId="{55019F05-739C-499C-85AD-7269005767A1}" srcOrd="4" destOrd="0" presId="urn:microsoft.com/office/officeart/2005/8/layout/list1"/>
    <dgm:cxn modelId="{2A2751FE-484A-4CCB-809E-3E2E4FA81898}" type="presParOf" srcId="{55019F05-739C-499C-85AD-7269005767A1}" destId="{8FFBFEAB-4C29-43E1-9195-E019257224C0}" srcOrd="0" destOrd="0" presId="urn:microsoft.com/office/officeart/2005/8/layout/list1"/>
    <dgm:cxn modelId="{2F3F4E5E-DAC1-49BB-AC8A-895AC27E1926}" type="presParOf" srcId="{55019F05-739C-499C-85AD-7269005767A1}" destId="{C4175353-957F-4B0A-882A-9D65932C4C45}" srcOrd="1" destOrd="0" presId="urn:microsoft.com/office/officeart/2005/8/layout/list1"/>
    <dgm:cxn modelId="{1B856F6E-8823-4D12-B9E4-88AFAFA9D6A0}" type="presParOf" srcId="{1DEF4F99-0D10-4E54-A0BF-F9524F830250}" destId="{0862C50F-306A-4E6B-A23B-07B15ECDE9F7}" srcOrd="5" destOrd="0" presId="urn:microsoft.com/office/officeart/2005/8/layout/list1"/>
    <dgm:cxn modelId="{F57112E8-3454-4083-BBBD-30CE65B2B5F0}" type="presParOf" srcId="{1DEF4F99-0D10-4E54-A0BF-F9524F830250}" destId="{BEC4ABD6-0E89-47BE-B95E-5D5D71B73DA1}" srcOrd="6" destOrd="0" presId="urn:microsoft.com/office/officeart/2005/8/layout/list1"/>
    <dgm:cxn modelId="{01416A79-E4D5-41EF-ACDC-5AC2D0AD3051}" type="presParOf" srcId="{1DEF4F99-0D10-4E54-A0BF-F9524F830250}" destId="{BEB87FCE-F499-4870-8AB0-98F9F509D50E}" srcOrd="7" destOrd="0" presId="urn:microsoft.com/office/officeart/2005/8/layout/list1"/>
    <dgm:cxn modelId="{01CEC07E-EA12-4AAE-A419-B39768B125E1}" type="presParOf" srcId="{1DEF4F99-0D10-4E54-A0BF-F9524F830250}" destId="{3AA816E6-3A8D-45C3-B0AF-DCE6C0F7D52F}" srcOrd="8" destOrd="0" presId="urn:microsoft.com/office/officeart/2005/8/layout/list1"/>
    <dgm:cxn modelId="{06E5AD61-B0EB-4D06-8DC0-4AA1274D8594}" type="presParOf" srcId="{3AA816E6-3A8D-45C3-B0AF-DCE6C0F7D52F}" destId="{9702987D-0E97-487C-8CCC-50D92DF3BD3E}" srcOrd="0" destOrd="0" presId="urn:microsoft.com/office/officeart/2005/8/layout/list1"/>
    <dgm:cxn modelId="{A0F5DAE7-CD07-4E4B-93D6-AE03007B0430}" type="presParOf" srcId="{3AA816E6-3A8D-45C3-B0AF-DCE6C0F7D52F}" destId="{2F94551E-AD58-4389-A867-ACC7E854241D}" srcOrd="1" destOrd="0" presId="urn:microsoft.com/office/officeart/2005/8/layout/list1"/>
    <dgm:cxn modelId="{EDE8B232-42AD-4977-9D1E-598A12AC400A}" type="presParOf" srcId="{1DEF4F99-0D10-4E54-A0BF-F9524F830250}" destId="{0B0D6F0B-4DEB-4B88-B257-B59830E60C59}" srcOrd="9" destOrd="0" presId="urn:microsoft.com/office/officeart/2005/8/layout/list1"/>
    <dgm:cxn modelId="{82CD3D1B-37A6-4680-8129-A69343179964}" type="presParOf" srcId="{1DEF4F99-0D10-4E54-A0BF-F9524F830250}" destId="{3BC1BA34-3099-48F7-ADCC-C59CA8F05523}" srcOrd="10" destOrd="0" presId="urn:microsoft.com/office/officeart/2005/8/layout/list1"/>
    <dgm:cxn modelId="{B43CF5A9-F8FF-4875-A8BC-B3DC3FB1FE9E}" type="presParOf" srcId="{1DEF4F99-0D10-4E54-A0BF-F9524F830250}" destId="{ED98C6C5-10F9-43FD-B588-4DD8CA453F1D}" srcOrd="11" destOrd="0" presId="urn:microsoft.com/office/officeart/2005/8/layout/list1"/>
    <dgm:cxn modelId="{C979183C-5784-4681-AAF3-723BC8467EF2}" type="presParOf" srcId="{1DEF4F99-0D10-4E54-A0BF-F9524F830250}" destId="{15A1C469-7C3A-4EBC-B23A-4CE4DD373580}" srcOrd="12" destOrd="0" presId="urn:microsoft.com/office/officeart/2005/8/layout/list1"/>
    <dgm:cxn modelId="{0231346E-9A4A-488D-89F0-4555CD99AB83}" type="presParOf" srcId="{15A1C469-7C3A-4EBC-B23A-4CE4DD373580}" destId="{3B8B29A2-8F27-4747-815F-4C192BC39EFB}" srcOrd="0" destOrd="0" presId="urn:microsoft.com/office/officeart/2005/8/layout/list1"/>
    <dgm:cxn modelId="{91953E05-6FDF-4877-AF56-909113686303}" type="presParOf" srcId="{15A1C469-7C3A-4EBC-B23A-4CE4DD373580}" destId="{514BAA5A-25A1-407B-9E98-4F585743FC17}" srcOrd="1" destOrd="0" presId="urn:microsoft.com/office/officeart/2005/8/layout/list1"/>
    <dgm:cxn modelId="{C8DCD7F2-9AF5-4F5A-818F-D4ADB4C36404}" type="presParOf" srcId="{1DEF4F99-0D10-4E54-A0BF-F9524F830250}" destId="{584AD0D6-0EBE-40B3-A5EF-BEFBE1FDD233}" srcOrd="13" destOrd="0" presId="urn:microsoft.com/office/officeart/2005/8/layout/list1"/>
    <dgm:cxn modelId="{7D69004A-BC61-402A-8697-6BD49A4D735A}" type="presParOf" srcId="{1DEF4F99-0D10-4E54-A0BF-F9524F830250}" destId="{06ACE6F8-0FA9-44AE-BA37-8718AB57D422}" srcOrd="14" destOrd="0" presId="urn:microsoft.com/office/officeart/2005/8/layout/list1"/>
    <dgm:cxn modelId="{344334B0-32A4-4349-9119-025C6A897213}" type="presParOf" srcId="{1DEF4F99-0D10-4E54-A0BF-F9524F830250}" destId="{728F8364-6B69-4FB1-8CEE-FE0453B48F74}" srcOrd="15" destOrd="0" presId="urn:microsoft.com/office/officeart/2005/8/layout/list1"/>
    <dgm:cxn modelId="{80FAF5EF-4AD2-4C11-AFAE-1819C2CDB93F}" type="presParOf" srcId="{1DEF4F99-0D10-4E54-A0BF-F9524F830250}" destId="{2FED5211-A15F-4937-8626-A219A5AF8F6A}" srcOrd="16" destOrd="0" presId="urn:microsoft.com/office/officeart/2005/8/layout/list1"/>
    <dgm:cxn modelId="{E671E8AC-AC5E-43D9-BED2-992CC14D383F}" type="presParOf" srcId="{2FED5211-A15F-4937-8626-A219A5AF8F6A}" destId="{96E24B0A-8F37-4257-B7B3-645FB1DA6A85}" srcOrd="0" destOrd="0" presId="urn:microsoft.com/office/officeart/2005/8/layout/list1"/>
    <dgm:cxn modelId="{5B7DC432-0D72-4887-B946-6736936DD655}" type="presParOf" srcId="{2FED5211-A15F-4937-8626-A219A5AF8F6A}" destId="{72C2FA48-4513-4CD5-8267-CAFA222E040F}" srcOrd="1" destOrd="0" presId="urn:microsoft.com/office/officeart/2005/8/layout/list1"/>
    <dgm:cxn modelId="{45EAE907-CAB6-4750-95C2-EF481439338A}" type="presParOf" srcId="{1DEF4F99-0D10-4E54-A0BF-F9524F830250}" destId="{C5574D53-E5B2-4961-BC19-B9AEEE8D8A74}" srcOrd="17" destOrd="0" presId="urn:microsoft.com/office/officeart/2005/8/layout/list1"/>
    <dgm:cxn modelId="{4B2A3E9B-B5B4-4EDB-82EA-341335609F09}" type="presParOf" srcId="{1DEF4F99-0D10-4E54-A0BF-F9524F830250}" destId="{4EFCDA67-9C44-44DD-A910-D775D3C6B542}" srcOrd="18" destOrd="0" presId="urn:microsoft.com/office/officeart/2005/8/layout/list1"/>
    <dgm:cxn modelId="{B816D2F2-A1B1-4E7F-9104-AB9EA0D45B23}" type="presParOf" srcId="{1DEF4F99-0D10-4E54-A0BF-F9524F830250}" destId="{44903029-1598-44FF-927B-4388D5E8763C}" srcOrd="19" destOrd="0" presId="urn:microsoft.com/office/officeart/2005/8/layout/list1"/>
    <dgm:cxn modelId="{A29166E1-DE26-44A4-8B03-06E6518791E9}" type="presParOf" srcId="{1DEF4F99-0D10-4E54-A0BF-F9524F830250}" destId="{86EE8AB6-545B-4020-AEC6-19F34F74D919}" srcOrd="20" destOrd="0" presId="urn:microsoft.com/office/officeart/2005/8/layout/list1"/>
    <dgm:cxn modelId="{EF2ED5C2-3848-4BB9-8CC4-6BCAC350D4EC}" type="presParOf" srcId="{86EE8AB6-545B-4020-AEC6-19F34F74D919}" destId="{C7C02459-324F-4CBA-B9A7-D10266029FAC}" srcOrd="0" destOrd="0" presId="urn:microsoft.com/office/officeart/2005/8/layout/list1"/>
    <dgm:cxn modelId="{3338D99A-2155-4494-8EBF-459ED548B678}" type="presParOf" srcId="{86EE8AB6-545B-4020-AEC6-19F34F74D919}" destId="{4E9F94DE-8CF1-4FE7-9A6B-53CB416743FC}" srcOrd="1" destOrd="0" presId="urn:microsoft.com/office/officeart/2005/8/layout/list1"/>
    <dgm:cxn modelId="{74414219-6157-408A-822A-EA07B7C194AB}" type="presParOf" srcId="{1DEF4F99-0D10-4E54-A0BF-F9524F830250}" destId="{DD8C64AD-F0AB-4DAF-BD3D-6848B3517AE4}" srcOrd="21" destOrd="0" presId="urn:microsoft.com/office/officeart/2005/8/layout/list1"/>
    <dgm:cxn modelId="{F5D3B5F4-CEBB-433C-B2AD-3803B8716A8B}" type="presParOf" srcId="{1DEF4F99-0D10-4E54-A0BF-F9524F830250}" destId="{FA8C06B1-BAA1-4827-A601-D14B18466DB6}" srcOrd="22" destOrd="0" presId="urn:microsoft.com/office/officeart/2005/8/layout/list1"/>
    <dgm:cxn modelId="{A803F878-728E-4CFA-B8B2-00668EE36383}" type="presParOf" srcId="{1DEF4F99-0D10-4E54-A0BF-F9524F830250}" destId="{D62CC520-BE4A-45F5-85CF-6F1FF6479E7B}" srcOrd="23" destOrd="0" presId="urn:microsoft.com/office/officeart/2005/8/layout/list1"/>
    <dgm:cxn modelId="{DCEE19FE-0ACA-4954-A721-ED112609D70A}" type="presParOf" srcId="{1DEF4F99-0D10-4E54-A0BF-F9524F830250}" destId="{0ACFCED0-6DBF-47C9-BEFF-1C22DE7DB9F3}" srcOrd="24" destOrd="0" presId="urn:microsoft.com/office/officeart/2005/8/layout/list1"/>
    <dgm:cxn modelId="{1C2278A3-6134-4178-B80E-247B003D802F}" type="presParOf" srcId="{0ACFCED0-6DBF-47C9-BEFF-1C22DE7DB9F3}" destId="{A03587EF-2C72-4284-B879-B71BE0640BA4}" srcOrd="0" destOrd="0" presId="urn:microsoft.com/office/officeart/2005/8/layout/list1"/>
    <dgm:cxn modelId="{DEB5A732-F0EC-470D-B8C4-2D7C207DFA1E}" type="presParOf" srcId="{0ACFCED0-6DBF-47C9-BEFF-1C22DE7DB9F3}" destId="{0BB363C2-1000-4D63-89E1-75C121258685}" srcOrd="1" destOrd="0" presId="urn:microsoft.com/office/officeart/2005/8/layout/list1"/>
    <dgm:cxn modelId="{6945B4C4-0BC5-42FB-BFA7-FABB3283E796}" type="presParOf" srcId="{1DEF4F99-0D10-4E54-A0BF-F9524F830250}" destId="{C9B2B30D-0668-43BB-8909-432202A9EDB4}" srcOrd="25" destOrd="0" presId="urn:microsoft.com/office/officeart/2005/8/layout/list1"/>
    <dgm:cxn modelId="{84F08611-1361-4090-B1A3-46606F5DDDE0}" type="presParOf" srcId="{1DEF4F99-0D10-4E54-A0BF-F9524F830250}" destId="{77262FC2-D56C-47EC-A6D3-390D5DF0E708}" srcOrd="26" destOrd="0" presId="urn:microsoft.com/office/officeart/2005/8/layout/lis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5D5CD7D-3A20-4EB8-B442-65E54571D39E}">
      <dsp:nvSpPr>
        <dsp:cNvPr id="0" name=""/>
        <dsp:cNvSpPr/>
      </dsp:nvSpPr>
      <dsp:spPr>
        <a:xfrm>
          <a:off x="0" y="440628"/>
          <a:ext cx="3723005" cy="1020600"/>
        </a:xfrm>
        <a:prstGeom prst="rect">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88947" tIns="270764" rIns="288947" bIns="64008" numCol="1" spcCol="1270" anchor="t" anchorCtr="0">
          <a:noAutofit/>
        </a:bodyPr>
        <a:lstStyle/>
        <a:p>
          <a:pPr marL="57150" lvl="1" indent="-57150" algn="l" defTabSz="400050">
            <a:lnSpc>
              <a:spcPct val="90000"/>
            </a:lnSpc>
            <a:spcBef>
              <a:spcPct val="0"/>
            </a:spcBef>
            <a:spcAft>
              <a:spcPct val="15000"/>
            </a:spcAft>
            <a:buChar char="•"/>
          </a:pPr>
          <a:r>
            <a:rPr lang="es-CO" sz="900" kern="1200"/>
            <a:t>Definición de la unidad objeto de ordenación forestal</a:t>
          </a:r>
        </a:p>
        <a:p>
          <a:pPr marL="57150" lvl="1" indent="-57150" algn="l" defTabSz="400050">
            <a:lnSpc>
              <a:spcPct val="90000"/>
            </a:lnSpc>
            <a:spcBef>
              <a:spcPct val="0"/>
            </a:spcBef>
            <a:spcAft>
              <a:spcPct val="15000"/>
            </a:spcAft>
            <a:buChar char="•"/>
          </a:pPr>
          <a:r>
            <a:rPr lang="es-CO" sz="900" kern="1200"/>
            <a:t>Asignación de recursos</a:t>
          </a:r>
        </a:p>
        <a:p>
          <a:pPr marL="57150" lvl="1" indent="-57150" algn="l" defTabSz="400050">
            <a:lnSpc>
              <a:spcPct val="90000"/>
            </a:lnSpc>
            <a:spcBef>
              <a:spcPct val="0"/>
            </a:spcBef>
            <a:spcAft>
              <a:spcPct val="15000"/>
            </a:spcAft>
            <a:buChar char="•"/>
          </a:pPr>
          <a:r>
            <a:rPr lang="es-CO" sz="900" kern="1200"/>
            <a:t>Inicio del proceso pre y contractual</a:t>
          </a:r>
        </a:p>
        <a:p>
          <a:pPr marL="57150" lvl="1" indent="-57150" algn="l" defTabSz="400050">
            <a:lnSpc>
              <a:spcPct val="90000"/>
            </a:lnSpc>
            <a:spcBef>
              <a:spcPct val="0"/>
            </a:spcBef>
            <a:spcAft>
              <a:spcPct val="15000"/>
            </a:spcAft>
            <a:buChar char="•"/>
          </a:pPr>
          <a:r>
            <a:rPr lang="es-CO" sz="900" kern="1200"/>
            <a:t>Conformación del equipo de trabajo  </a:t>
          </a:r>
        </a:p>
      </dsp:txBody>
      <dsp:txXfrm>
        <a:off x="0" y="440628"/>
        <a:ext cx="3723005" cy="1020600"/>
      </dsp:txXfrm>
    </dsp:sp>
    <dsp:sp modelId="{E6E34545-7A70-45F5-AF30-5300FEAF0CB4}">
      <dsp:nvSpPr>
        <dsp:cNvPr id="0" name=""/>
        <dsp:cNvSpPr/>
      </dsp:nvSpPr>
      <dsp:spPr>
        <a:xfrm>
          <a:off x="186150" y="110249"/>
          <a:ext cx="2606103" cy="531360"/>
        </a:xfrm>
        <a:prstGeom prst="round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8505" tIns="0" rIns="98505" bIns="0" numCol="1" spcCol="1270" anchor="ctr" anchorCtr="0">
          <a:noAutofit/>
        </a:bodyPr>
        <a:lstStyle/>
        <a:p>
          <a:pPr marL="0" lvl="0" indent="0" algn="l" defTabSz="400050">
            <a:lnSpc>
              <a:spcPct val="90000"/>
            </a:lnSpc>
            <a:spcBef>
              <a:spcPct val="0"/>
            </a:spcBef>
            <a:spcAft>
              <a:spcPct val="35000"/>
            </a:spcAft>
            <a:buNone/>
          </a:pPr>
          <a:r>
            <a:rPr lang="es-CO" sz="900" b="1" kern="1200"/>
            <a:t>1. FASE DE PREPARACION</a:t>
          </a:r>
        </a:p>
      </dsp:txBody>
      <dsp:txXfrm>
        <a:off x="212089" y="136188"/>
        <a:ext cx="2554225" cy="479482"/>
      </dsp:txXfrm>
    </dsp:sp>
    <dsp:sp modelId="{BEC4ABD6-0E89-47BE-B95E-5D5D71B73DA1}">
      <dsp:nvSpPr>
        <dsp:cNvPr id="0" name=""/>
        <dsp:cNvSpPr/>
      </dsp:nvSpPr>
      <dsp:spPr>
        <a:xfrm>
          <a:off x="0" y="1824108"/>
          <a:ext cx="3723005" cy="1134000"/>
        </a:xfrm>
        <a:prstGeom prst="rect">
          <a:avLst/>
        </a:prstGeom>
        <a:solidFill>
          <a:schemeClr val="lt1">
            <a:alpha val="90000"/>
            <a:hueOff val="0"/>
            <a:satOff val="0"/>
            <a:lumOff val="0"/>
            <a:alphaOff val="0"/>
          </a:schemeClr>
        </a:solidFill>
        <a:ln w="12700" cap="flat" cmpd="sng" algn="ctr">
          <a:solidFill>
            <a:schemeClr val="accent5">
              <a:hueOff val="-1225557"/>
              <a:satOff val="-1705"/>
              <a:lumOff val="-654"/>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88947" tIns="270764" rIns="288947" bIns="64008" numCol="1" spcCol="1270" anchor="t" anchorCtr="0">
          <a:noAutofit/>
        </a:bodyPr>
        <a:lstStyle/>
        <a:p>
          <a:pPr marL="57150" lvl="1" indent="-57150" algn="l" defTabSz="400050">
            <a:lnSpc>
              <a:spcPct val="90000"/>
            </a:lnSpc>
            <a:spcBef>
              <a:spcPct val="0"/>
            </a:spcBef>
            <a:spcAft>
              <a:spcPct val="15000"/>
            </a:spcAft>
            <a:buChar char="•"/>
          </a:pPr>
          <a:r>
            <a:rPr lang="es-CO" sz="900" kern="1200"/>
            <a:t>Consulta, validación y digitalización de información secundaria</a:t>
          </a:r>
        </a:p>
        <a:p>
          <a:pPr marL="57150" lvl="1" indent="-57150" algn="l" defTabSz="400050">
            <a:lnSpc>
              <a:spcPct val="90000"/>
            </a:lnSpc>
            <a:spcBef>
              <a:spcPct val="0"/>
            </a:spcBef>
            <a:spcAft>
              <a:spcPct val="15000"/>
            </a:spcAft>
            <a:buChar char="•"/>
          </a:pPr>
          <a:r>
            <a:rPr lang="es-CO" sz="900" kern="1200"/>
            <a:t>Procesamiento e interpretación de imágenes satelitales</a:t>
          </a:r>
        </a:p>
        <a:p>
          <a:pPr marL="57150" lvl="1" indent="-57150" algn="l" defTabSz="400050">
            <a:lnSpc>
              <a:spcPct val="90000"/>
            </a:lnSpc>
            <a:spcBef>
              <a:spcPct val="0"/>
            </a:spcBef>
            <a:spcAft>
              <a:spcPct val="15000"/>
            </a:spcAft>
            <a:buChar char="•"/>
          </a:pPr>
          <a:r>
            <a:rPr lang="es-CO" sz="900" kern="1200"/>
            <a:t>Generación de información cartográfica preliminar</a:t>
          </a:r>
        </a:p>
        <a:p>
          <a:pPr marL="57150" lvl="1" indent="-57150" algn="l" defTabSz="400050">
            <a:lnSpc>
              <a:spcPct val="90000"/>
            </a:lnSpc>
            <a:spcBef>
              <a:spcPct val="0"/>
            </a:spcBef>
            <a:spcAft>
              <a:spcPct val="15000"/>
            </a:spcAft>
            <a:buChar char="•"/>
          </a:pPr>
          <a:r>
            <a:rPr lang="es-CO" sz="900" kern="1200"/>
            <a:t>Definición de metodología para levantamiento de información primaria</a:t>
          </a:r>
        </a:p>
      </dsp:txBody>
      <dsp:txXfrm>
        <a:off x="0" y="1824108"/>
        <a:ext cx="3723005" cy="1134000"/>
      </dsp:txXfrm>
    </dsp:sp>
    <dsp:sp modelId="{C4175353-957F-4B0A-882A-9D65932C4C45}">
      <dsp:nvSpPr>
        <dsp:cNvPr id="0" name=""/>
        <dsp:cNvSpPr/>
      </dsp:nvSpPr>
      <dsp:spPr>
        <a:xfrm>
          <a:off x="200779" y="1543156"/>
          <a:ext cx="2606103" cy="531360"/>
        </a:xfrm>
        <a:prstGeom prst="roundRect">
          <a:avLst/>
        </a:prstGeom>
        <a:solidFill>
          <a:schemeClr val="accent5">
            <a:hueOff val="-1225557"/>
            <a:satOff val="-1705"/>
            <a:lumOff val="-654"/>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8505" tIns="0" rIns="98505" bIns="0" numCol="1" spcCol="1270" anchor="ctr" anchorCtr="0">
          <a:noAutofit/>
        </a:bodyPr>
        <a:lstStyle/>
        <a:p>
          <a:pPr marL="0" lvl="0" indent="0" algn="l" defTabSz="400050">
            <a:lnSpc>
              <a:spcPct val="90000"/>
            </a:lnSpc>
            <a:spcBef>
              <a:spcPct val="0"/>
            </a:spcBef>
            <a:spcAft>
              <a:spcPct val="35000"/>
            </a:spcAft>
            <a:buNone/>
          </a:pPr>
          <a:r>
            <a:rPr lang="es-CO" sz="900" b="1" kern="1200"/>
            <a:t>2. FASE DE APRESTAMIENTO</a:t>
          </a:r>
        </a:p>
      </dsp:txBody>
      <dsp:txXfrm>
        <a:off x="226718" y="1569095"/>
        <a:ext cx="2554225" cy="479482"/>
      </dsp:txXfrm>
    </dsp:sp>
    <dsp:sp modelId="{3BC1BA34-3099-48F7-ADCC-C59CA8F05523}">
      <dsp:nvSpPr>
        <dsp:cNvPr id="0" name=""/>
        <dsp:cNvSpPr/>
      </dsp:nvSpPr>
      <dsp:spPr>
        <a:xfrm>
          <a:off x="0" y="3320987"/>
          <a:ext cx="3723005" cy="1350886"/>
        </a:xfrm>
        <a:prstGeom prst="rect">
          <a:avLst/>
        </a:prstGeom>
        <a:solidFill>
          <a:schemeClr val="lt1">
            <a:alpha val="90000"/>
            <a:hueOff val="0"/>
            <a:satOff val="0"/>
            <a:lumOff val="0"/>
            <a:alphaOff val="0"/>
          </a:schemeClr>
        </a:solidFill>
        <a:ln w="12700" cap="flat" cmpd="sng" algn="ctr">
          <a:solidFill>
            <a:schemeClr val="accent5">
              <a:hueOff val="-2451115"/>
              <a:satOff val="-3409"/>
              <a:lumOff val="-1307"/>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88947" tIns="270764" rIns="288947" bIns="64008" numCol="1" spcCol="1270" anchor="t" anchorCtr="0">
          <a:noAutofit/>
        </a:bodyPr>
        <a:lstStyle/>
        <a:p>
          <a:pPr marL="57150" lvl="1" indent="-57150" algn="l" defTabSz="400050">
            <a:lnSpc>
              <a:spcPct val="90000"/>
            </a:lnSpc>
            <a:spcBef>
              <a:spcPct val="0"/>
            </a:spcBef>
            <a:spcAft>
              <a:spcPct val="15000"/>
            </a:spcAft>
            <a:buChar char="•"/>
          </a:pPr>
          <a:r>
            <a:rPr lang="es-CO" sz="900" kern="1200"/>
            <a:t>Socialización y acuerdos con actores regionales y locales</a:t>
          </a:r>
        </a:p>
        <a:p>
          <a:pPr marL="57150" lvl="1" indent="-57150" algn="l" defTabSz="400050">
            <a:lnSpc>
              <a:spcPct val="90000"/>
            </a:lnSpc>
            <a:spcBef>
              <a:spcPct val="0"/>
            </a:spcBef>
            <a:spcAft>
              <a:spcPct val="15000"/>
            </a:spcAft>
            <a:buChar char="•"/>
          </a:pPr>
          <a:r>
            <a:rPr lang="es-CO" sz="900" kern="1200"/>
            <a:t>Chequeo cartografía en campo</a:t>
          </a:r>
        </a:p>
        <a:p>
          <a:pPr marL="57150" lvl="1" indent="-57150" algn="l" defTabSz="400050">
            <a:lnSpc>
              <a:spcPct val="90000"/>
            </a:lnSpc>
            <a:spcBef>
              <a:spcPct val="0"/>
            </a:spcBef>
            <a:spcAft>
              <a:spcPct val="15000"/>
            </a:spcAft>
            <a:buChar char="•"/>
          </a:pPr>
          <a:r>
            <a:rPr lang="es-CO" sz="900" kern="1200"/>
            <a:t>Desarrollo del premuestreo, ajuste y realización del inventario forestal</a:t>
          </a:r>
        </a:p>
        <a:p>
          <a:pPr marL="57150" lvl="1" indent="-57150" algn="l" defTabSz="400050">
            <a:lnSpc>
              <a:spcPct val="90000"/>
            </a:lnSpc>
            <a:spcBef>
              <a:spcPct val="0"/>
            </a:spcBef>
            <a:spcAft>
              <a:spcPct val="15000"/>
            </a:spcAft>
            <a:buChar char="•"/>
          </a:pPr>
          <a:r>
            <a:rPr lang="es-CO" sz="900" kern="1200"/>
            <a:t>Desarrollo del componente fauna</a:t>
          </a:r>
        </a:p>
        <a:p>
          <a:pPr marL="57150" lvl="1" indent="-57150" algn="l" defTabSz="400050">
            <a:lnSpc>
              <a:spcPct val="90000"/>
            </a:lnSpc>
            <a:spcBef>
              <a:spcPct val="0"/>
            </a:spcBef>
            <a:spcAft>
              <a:spcPct val="15000"/>
            </a:spcAft>
            <a:buChar char="•"/>
          </a:pPr>
          <a:r>
            <a:rPr lang="es-CO" sz="900" kern="1200"/>
            <a:t>Desarrollo del componente socieconomico</a:t>
          </a:r>
        </a:p>
        <a:p>
          <a:pPr marL="57150" lvl="1" indent="-57150" algn="l" defTabSz="400050">
            <a:lnSpc>
              <a:spcPct val="90000"/>
            </a:lnSpc>
            <a:spcBef>
              <a:spcPct val="0"/>
            </a:spcBef>
            <a:spcAft>
              <a:spcPct val="15000"/>
            </a:spcAft>
            <a:buChar char="•"/>
          </a:pPr>
          <a:r>
            <a:rPr lang="es-CO" sz="900" kern="1200"/>
            <a:t>Desarrollo del componente suelos</a:t>
          </a:r>
        </a:p>
      </dsp:txBody>
      <dsp:txXfrm>
        <a:off x="0" y="3320987"/>
        <a:ext cx="3723005" cy="1350886"/>
      </dsp:txXfrm>
    </dsp:sp>
    <dsp:sp modelId="{2F94551E-AD58-4389-A867-ACC7E854241D}">
      <dsp:nvSpPr>
        <dsp:cNvPr id="0" name=""/>
        <dsp:cNvSpPr/>
      </dsp:nvSpPr>
      <dsp:spPr>
        <a:xfrm>
          <a:off x="178834" y="3040036"/>
          <a:ext cx="2606103" cy="531360"/>
        </a:xfrm>
        <a:prstGeom prst="roundRect">
          <a:avLst/>
        </a:prstGeom>
        <a:solidFill>
          <a:schemeClr val="accent5">
            <a:hueOff val="-2451115"/>
            <a:satOff val="-3409"/>
            <a:lumOff val="-1307"/>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8505" tIns="0" rIns="98505" bIns="0" numCol="1" spcCol="1270" anchor="ctr" anchorCtr="0">
          <a:noAutofit/>
        </a:bodyPr>
        <a:lstStyle/>
        <a:p>
          <a:pPr marL="0" lvl="0" indent="0" algn="l" defTabSz="400050">
            <a:lnSpc>
              <a:spcPct val="90000"/>
            </a:lnSpc>
            <a:spcBef>
              <a:spcPct val="0"/>
            </a:spcBef>
            <a:spcAft>
              <a:spcPct val="35000"/>
            </a:spcAft>
            <a:buNone/>
          </a:pPr>
          <a:r>
            <a:rPr lang="es-CO" sz="900" b="1" kern="1200"/>
            <a:t>3. FASE  LOGISTICA Y OPERATIVA</a:t>
          </a:r>
        </a:p>
      </dsp:txBody>
      <dsp:txXfrm>
        <a:off x="204773" y="3065975"/>
        <a:ext cx="2554225" cy="479482"/>
      </dsp:txXfrm>
    </dsp:sp>
    <dsp:sp modelId="{06ACE6F8-0FA9-44AE-BA37-8718AB57D422}">
      <dsp:nvSpPr>
        <dsp:cNvPr id="0" name=""/>
        <dsp:cNvSpPr/>
      </dsp:nvSpPr>
      <dsp:spPr>
        <a:xfrm>
          <a:off x="0" y="5073731"/>
          <a:ext cx="3723005" cy="1134000"/>
        </a:xfrm>
        <a:prstGeom prst="rect">
          <a:avLst/>
        </a:prstGeom>
        <a:solidFill>
          <a:schemeClr val="lt1">
            <a:alpha val="90000"/>
            <a:hueOff val="0"/>
            <a:satOff val="0"/>
            <a:lumOff val="0"/>
            <a:alphaOff val="0"/>
          </a:schemeClr>
        </a:solidFill>
        <a:ln w="12700" cap="flat" cmpd="sng" algn="ctr">
          <a:solidFill>
            <a:schemeClr val="accent5">
              <a:hueOff val="-3676672"/>
              <a:satOff val="-5114"/>
              <a:lumOff val="-1961"/>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88947" tIns="270764" rIns="288947" bIns="64008" numCol="1" spcCol="1270" anchor="t" anchorCtr="0">
          <a:noAutofit/>
        </a:bodyPr>
        <a:lstStyle/>
        <a:p>
          <a:pPr marL="57150" lvl="1" indent="-57150" algn="l" defTabSz="400050">
            <a:lnSpc>
              <a:spcPct val="90000"/>
            </a:lnSpc>
            <a:spcBef>
              <a:spcPct val="0"/>
            </a:spcBef>
            <a:spcAft>
              <a:spcPct val="15000"/>
            </a:spcAft>
            <a:buChar char="•"/>
          </a:pPr>
          <a:r>
            <a:rPr lang="es-CO" sz="900" kern="1200"/>
            <a:t>Procesamiento y análisis de información primaria</a:t>
          </a:r>
        </a:p>
        <a:p>
          <a:pPr marL="57150" lvl="1" indent="-57150" algn="l" defTabSz="400050">
            <a:lnSpc>
              <a:spcPct val="90000"/>
            </a:lnSpc>
            <a:spcBef>
              <a:spcPct val="0"/>
            </a:spcBef>
            <a:spcAft>
              <a:spcPct val="15000"/>
            </a:spcAft>
            <a:buChar char="•"/>
          </a:pPr>
          <a:r>
            <a:rPr lang="es-CO" sz="900" kern="1200"/>
            <a:t>Propuesta zonificación inicial de la UOF</a:t>
          </a:r>
        </a:p>
        <a:p>
          <a:pPr marL="57150" lvl="1" indent="-57150" algn="l" defTabSz="400050">
            <a:lnSpc>
              <a:spcPct val="90000"/>
            </a:lnSpc>
            <a:spcBef>
              <a:spcPct val="0"/>
            </a:spcBef>
            <a:spcAft>
              <a:spcPct val="15000"/>
            </a:spcAft>
            <a:buChar char="•"/>
          </a:pPr>
          <a:r>
            <a:rPr lang="es-CO" sz="900" kern="1200"/>
            <a:t>Propuesta de zonificación de las áreas forestales que componen la UOF</a:t>
          </a:r>
        </a:p>
        <a:p>
          <a:pPr marL="57150" lvl="1" indent="-57150" algn="l" defTabSz="400050">
            <a:lnSpc>
              <a:spcPct val="90000"/>
            </a:lnSpc>
            <a:spcBef>
              <a:spcPct val="0"/>
            </a:spcBef>
            <a:spcAft>
              <a:spcPct val="15000"/>
            </a:spcAft>
            <a:buChar char="•"/>
          </a:pPr>
          <a:r>
            <a:rPr lang="es-CO" sz="900" kern="1200"/>
            <a:t> Formulación del POF para cada área forestal de la UOF</a:t>
          </a:r>
        </a:p>
      </dsp:txBody>
      <dsp:txXfrm>
        <a:off x="0" y="5073731"/>
        <a:ext cx="3723005" cy="1134000"/>
      </dsp:txXfrm>
    </dsp:sp>
    <dsp:sp modelId="{514BAA5A-25A1-407B-9E98-4F585743FC17}">
      <dsp:nvSpPr>
        <dsp:cNvPr id="0" name=""/>
        <dsp:cNvSpPr/>
      </dsp:nvSpPr>
      <dsp:spPr>
        <a:xfrm>
          <a:off x="186150" y="4753803"/>
          <a:ext cx="2606103" cy="531360"/>
        </a:xfrm>
        <a:prstGeom prst="roundRect">
          <a:avLst/>
        </a:prstGeom>
        <a:solidFill>
          <a:schemeClr val="accent5">
            <a:hueOff val="-3676672"/>
            <a:satOff val="-5114"/>
            <a:lumOff val="-196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8505" tIns="0" rIns="98505" bIns="0" numCol="1" spcCol="1270" anchor="ctr" anchorCtr="0">
          <a:noAutofit/>
        </a:bodyPr>
        <a:lstStyle/>
        <a:p>
          <a:pPr marL="0" lvl="0" indent="0" algn="l" defTabSz="400050">
            <a:lnSpc>
              <a:spcPct val="90000"/>
            </a:lnSpc>
            <a:spcBef>
              <a:spcPct val="0"/>
            </a:spcBef>
            <a:spcAft>
              <a:spcPct val="35000"/>
            </a:spcAft>
            <a:buNone/>
          </a:pPr>
          <a:r>
            <a:rPr lang="es-CO" sz="900" b="1" kern="1200"/>
            <a:t>4. FASE DE OFICINA</a:t>
          </a:r>
        </a:p>
      </dsp:txBody>
      <dsp:txXfrm>
        <a:off x="212089" y="4779742"/>
        <a:ext cx="2554225" cy="479482"/>
      </dsp:txXfrm>
    </dsp:sp>
    <dsp:sp modelId="{4EFCDA67-9C44-44DD-A910-D775D3C6B542}">
      <dsp:nvSpPr>
        <dsp:cNvPr id="0" name=""/>
        <dsp:cNvSpPr/>
      </dsp:nvSpPr>
      <dsp:spPr>
        <a:xfrm>
          <a:off x="0" y="6544572"/>
          <a:ext cx="3723005" cy="754238"/>
        </a:xfrm>
        <a:prstGeom prst="rect">
          <a:avLst/>
        </a:prstGeom>
        <a:solidFill>
          <a:schemeClr val="lt1">
            <a:alpha val="90000"/>
            <a:hueOff val="0"/>
            <a:satOff val="0"/>
            <a:lumOff val="0"/>
            <a:alphaOff val="0"/>
          </a:schemeClr>
        </a:solidFill>
        <a:ln w="12700" cap="flat" cmpd="sng" algn="ctr">
          <a:solidFill>
            <a:schemeClr val="accent5">
              <a:hueOff val="-4902230"/>
              <a:satOff val="-6819"/>
              <a:lumOff val="-2615"/>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88947" tIns="270764" rIns="288947" bIns="64008" numCol="1" spcCol="1270" anchor="t" anchorCtr="0">
          <a:noAutofit/>
        </a:bodyPr>
        <a:lstStyle/>
        <a:p>
          <a:pPr marL="57150" lvl="1" indent="-57150" algn="l" defTabSz="400050">
            <a:lnSpc>
              <a:spcPct val="90000"/>
            </a:lnSpc>
            <a:spcBef>
              <a:spcPct val="0"/>
            </a:spcBef>
            <a:spcAft>
              <a:spcPct val="15000"/>
            </a:spcAft>
            <a:buChar char="•"/>
          </a:pPr>
          <a:r>
            <a:rPr lang="es-CO" sz="900" kern="1200"/>
            <a:t>Socialización versión premiminar de los POF</a:t>
          </a:r>
        </a:p>
        <a:p>
          <a:pPr marL="57150" lvl="1" indent="-57150" algn="l" defTabSz="400050">
            <a:lnSpc>
              <a:spcPct val="90000"/>
            </a:lnSpc>
            <a:spcBef>
              <a:spcPct val="0"/>
            </a:spcBef>
            <a:spcAft>
              <a:spcPct val="15000"/>
            </a:spcAft>
            <a:buChar char="•"/>
          </a:pPr>
          <a:r>
            <a:rPr lang="es-CO" sz="900" kern="1200"/>
            <a:t>Armonización de los POF con actores locales y regionales</a:t>
          </a:r>
        </a:p>
        <a:p>
          <a:pPr marL="57150" lvl="1" indent="-57150" algn="l" defTabSz="400050">
            <a:lnSpc>
              <a:spcPct val="90000"/>
            </a:lnSpc>
            <a:spcBef>
              <a:spcPct val="0"/>
            </a:spcBef>
            <a:spcAft>
              <a:spcPct val="15000"/>
            </a:spcAft>
            <a:buChar char="•"/>
          </a:pPr>
          <a:r>
            <a:rPr lang="es-CO" sz="900" kern="1200"/>
            <a:t>Edición y ajustes de los POF</a:t>
          </a:r>
        </a:p>
      </dsp:txBody>
      <dsp:txXfrm>
        <a:off x="0" y="6544572"/>
        <a:ext cx="3723005" cy="754238"/>
      </dsp:txXfrm>
    </dsp:sp>
    <dsp:sp modelId="{72C2FA48-4513-4CD5-8267-CAFA222E040F}">
      <dsp:nvSpPr>
        <dsp:cNvPr id="0" name=""/>
        <dsp:cNvSpPr/>
      </dsp:nvSpPr>
      <dsp:spPr>
        <a:xfrm>
          <a:off x="178834" y="6283633"/>
          <a:ext cx="2606103" cy="531360"/>
        </a:xfrm>
        <a:prstGeom prst="roundRect">
          <a:avLst/>
        </a:prstGeom>
        <a:solidFill>
          <a:schemeClr val="accent5">
            <a:hueOff val="-4902230"/>
            <a:satOff val="-6819"/>
            <a:lumOff val="-2615"/>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8505" tIns="0" rIns="98505" bIns="0" numCol="1" spcCol="1270" anchor="ctr" anchorCtr="0">
          <a:noAutofit/>
        </a:bodyPr>
        <a:lstStyle/>
        <a:p>
          <a:pPr marL="0" lvl="0" indent="0" algn="l" defTabSz="400050">
            <a:lnSpc>
              <a:spcPct val="90000"/>
            </a:lnSpc>
            <a:spcBef>
              <a:spcPct val="0"/>
            </a:spcBef>
            <a:spcAft>
              <a:spcPct val="35000"/>
            </a:spcAft>
            <a:buNone/>
          </a:pPr>
          <a:r>
            <a:rPr lang="es-CO" sz="900" b="1" kern="1200"/>
            <a:t>5. FASE DE FORMULACION</a:t>
          </a:r>
        </a:p>
      </dsp:txBody>
      <dsp:txXfrm>
        <a:off x="204773" y="6309572"/>
        <a:ext cx="2554225" cy="479482"/>
      </dsp:txXfrm>
    </dsp:sp>
    <dsp:sp modelId="{FA8C06B1-BAA1-4827-A601-D14B18466DB6}">
      <dsp:nvSpPr>
        <dsp:cNvPr id="0" name=""/>
        <dsp:cNvSpPr/>
      </dsp:nvSpPr>
      <dsp:spPr>
        <a:xfrm>
          <a:off x="0" y="7648753"/>
          <a:ext cx="3723005" cy="1134000"/>
        </a:xfrm>
        <a:prstGeom prst="rect">
          <a:avLst/>
        </a:prstGeom>
        <a:solidFill>
          <a:schemeClr val="lt1">
            <a:alpha val="90000"/>
            <a:hueOff val="0"/>
            <a:satOff val="0"/>
            <a:lumOff val="0"/>
            <a:alphaOff val="0"/>
          </a:schemeClr>
        </a:solidFill>
        <a:ln w="12700" cap="flat" cmpd="sng" algn="ctr">
          <a:solidFill>
            <a:schemeClr val="accent5">
              <a:hueOff val="-6127787"/>
              <a:satOff val="-8523"/>
              <a:lumOff val="-3268"/>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88947" tIns="270764" rIns="288947" bIns="64008" numCol="1" spcCol="1270" anchor="t" anchorCtr="0">
          <a:noAutofit/>
        </a:bodyPr>
        <a:lstStyle/>
        <a:p>
          <a:pPr marL="57150" lvl="1" indent="-57150" algn="l" defTabSz="400050">
            <a:lnSpc>
              <a:spcPct val="90000"/>
            </a:lnSpc>
            <a:spcBef>
              <a:spcPct val="0"/>
            </a:spcBef>
            <a:spcAft>
              <a:spcPct val="15000"/>
            </a:spcAft>
            <a:buChar char="•"/>
          </a:pPr>
          <a:r>
            <a:rPr lang="es-CO" sz="900" kern="1200"/>
            <a:t>Aprobación de los POF por Consejo Directivo de la autoridad ambiental competente</a:t>
          </a:r>
        </a:p>
        <a:p>
          <a:pPr marL="57150" lvl="1" indent="-57150" algn="l" defTabSz="400050">
            <a:lnSpc>
              <a:spcPct val="90000"/>
            </a:lnSpc>
            <a:spcBef>
              <a:spcPct val="0"/>
            </a:spcBef>
            <a:spcAft>
              <a:spcPct val="15000"/>
            </a:spcAft>
            <a:buChar char="•"/>
          </a:pPr>
          <a:r>
            <a:rPr lang="es-CO" sz="900" kern="1200"/>
            <a:t>Incorporación de los POF en el POA de la autoridad ambiental competente</a:t>
          </a:r>
        </a:p>
        <a:p>
          <a:pPr marL="57150" lvl="1" indent="-57150" algn="l" defTabSz="400050">
            <a:lnSpc>
              <a:spcPct val="90000"/>
            </a:lnSpc>
            <a:spcBef>
              <a:spcPct val="0"/>
            </a:spcBef>
            <a:spcAft>
              <a:spcPct val="15000"/>
            </a:spcAft>
            <a:buChar char="•"/>
          </a:pPr>
          <a:r>
            <a:rPr lang="es-CO" sz="900" kern="1200"/>
            <a:t>Desarrollo de planes, programas y proyectos de cada POF </a:t>
          </a:r>
        </a:p>
      </dsp:txBody>
      <dsp:txXfrm>
        <a:off x="0" y="7648753"/>
        <a:ext cx="3723005" cy="1134000"/>
      </dsp:txXfrm>
    </dsp:sp>
    <dsp:sp modelId="{4E9F94DE-8CF1-4FE7-9A6B-53CB416743FC}">
      <dsp:nvSpPr>
        <dsp:cNvPr id="0" name=""/>
        <dsp:cNvSpPr/>
      </dsp:nvSpPr>
      <dsp:spPr>
        <a:xfrm>
          <a:off x="186150" y="7384274"/>
          <a:ext cx="2606103" cy="531360"/>
        </a:xfrm>
        <a:prstGeom prst="roundRect">
          <a:avLst/>
        </a:prstGeom>
        <a:solidFill>
          <a:schemeClr val="accent5">
            <a:hueOff val="-6127787"/>
            <a:satOff val="-8523"/>
            <a:lumOff val="-3268"/>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8505" tIns="0" rIns="98505" bIns="0" numCol="1" spcCol="1270" anchor="ctr" anchorCtr="0">
          <a:noAutofit/>
        </a:bodyPr>
        <a:lstStyle/>
        <a:p>
          <a:pPr marL="0" lvl="0" indent="0" algn="l" defTabSz="400050">
            <a:lnSpc>
              <a:spcPct val="90000"/>
            </a:lnSpc>
            <a:spcBef>
              <a:spcPct val="0"/>
            </a:spcBef>
            <a:spcAft>
              <a:spcPct val="35000"/>
            </a:spcAft>
            <a:buNone/>
          </a:pPr>
          <a:r>
            <a:rPr lang="es-CO" sz="900" b="1" kern="1200"/>
            <a:t>6. FASE DE IMPLEMENTACION</a:t>
          </a:r>
        </a:p>
      </dsp:txBody>
      <dsp:txXfrm>
        <a:off x="212089" y="7410213"/>
        <a:ext cx="2554225" cy="479482"/>
      </dsp:txXfrm>
    </dsp:sp>
    <dsp:sp modelId="{77262FC2-D56C-47EC-A6D3-390D5DF0E708}">
      <dsp:nvSpPr>
        <dsp:cNvPr id="0" name=""/>
        <dsp:cNvSpPr/>
      </dsp:nvSpPr>
      <dsp:spPr>
        <a:xfrm>
          <a:off x="0" y="9132692"/>
          <a:ext cx="3723005" cy="864675"/>
        </a:xfrm>
        <a:prstGeom prst="rect">
          <a:avLst/>
        </a:prstGeom>
        <a:solidFill>
          <a:schemeClr val="lt1">
            <a:alpha val="90000"/>
            <a:hueOff val="0"/>
            <a:satOff val="0"/>
            <a:lumOff val="0"/>
            <a:alphaOff val="0"/>
          </a:schemeClr>
        </a:solidFill>
        <a:ln w="12700" cap="flat" cmpd="sng" algn="ctr">
          <a:solidFill>
            <a:schemeClr val="accent5">
              <a:hueOff val="-7353344"/>
              <a:satOff val="-10228"/>
              <a:lumOff val="-3922"/>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88947" tIns="270764" rIns="288947" bIns="64008" numCol="1" spcCol="1270" anchor="t" anchorCtr="0">
          <a:noAutofit/>
        </a:bodyPr>
        <a:lstStyle/>
        <a:p>
          <a:pPr marL="57150" lvl="1" indent="-57150" algn="l" defTabSz="400050">
            <a:lnSpc>
              <a:spcPct val="90000"/>
            </a:lnSpc>
            <a:spcBef>
              <a:spcPct val="0"/>
            </a:spcBef>
            <a:spcAft>
              <a:spcPct val="15000"/>
            </a:spcAft>
            <a:buChar char="•"/>
          </a:pPr>
          <a:r>
            <a:rPr lang="es-CO" sz="900" kern="1200"/>
            <a:t>Seguimiento a los POF</a:t>
          </a:r>
        </a:p>
        <a:p>
          <a:pPr marL="57150" lvl="1" indent="-57150" algn="l" defTabSz="400050">
            <a:lnSpc>
              <a:spcPct val="90000"/>
            </a:lnSpc>
            <a:spcBef>
              <a:spcPct val="0"/>
            </a:spcBef>
            <a:spcAft>
              <a:spcPct val="15000"/>
            </a:spcAft>
            <a:buChar char="•"/>
          </a:pPr>
          <a:r>
            <a:rPr lang="es-CO" sz="900" kern="1200"/>
            <a:t>Revisión y evaluación de los POF</a:t>
          </a:r>
        </a:p>
        <a:p>
          <a:pPr marL="57150" lvl="1" indent="-57150" algn="l" defTabSz="400050">
            <a:lnSpc>
              <a:spcPct val="90000"/>
            </a:lnSpc>
            <a:spcBef>
              <a:spcPct val="0"/>
            </a:spcBef>
            <a:spcAft>
              <a:spcPct val="15000"/>
            </a:spcAft>
            <a:buChar char="•"/>
          </a:pPr>
          <a:r>
            <a:rPr lang="es-CO" sz="900" kern="1200"/>
            <a:t>Actualización de los POF  </a:t>
          </a:r>
        </a:p>
      </dsp:txBody>
      <dsp:txXfrm>
        <a:off x="0" y="9132692"/>
        <a:ext cx="3723005" cy="864675"/>
      </dsp:txXfrm>
    </dsp:sp>
    <dsp:sp modelId="{0BB363C2-1000-4D63-89E1-75C121258685}">
      <dsp:nvSpPr>
        <dsp:cNvPr id="0" name=""/>
        <dsp:cNvSpPr/>
      </dsp:nvSpPr>
      <dsp:spPr>
        <a:xfrm>
          <a:off x="193465" y="8881154"/>
          <a:ext cx="2606103" cy="531360"/>
        </a:xfrm>
        <a:prstGeom prst="roundRect">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8505" tIns="0" rIns="98505" bIns="0" numCol="1" spcCol="1270" anchor="ctr" anchorCtr="0">
          <a:noAutofit/>
        </a:bodyPr>
        <a:lstStyle/>
        <a:p>
          <a:pPr marL="0" lvl="0" indent="0" algn="l" defTabSz="400050">
            <a:lnSpc>
              <a:spcPct val="90000"/>
            </a:lnSpc>
            <a:spcBef>
              <a:spcPct val="0"/>
            </a:spcBef>
            <a:spcAft>
              <a:spcPct val="35000"/>
            </a:spcAft>
            <a:buNone/>
          </a:pPr>
          <a:r>
            <a:rPr lang="es-CO" sz="900" b="1" kern="1200"/>
            <a:t>7. FASE DE SEGUIMIENTO Y ACTUALIZACION</a:t>
          </a:r>
        </a:p>
      </dsp:txBody>
      <dsp:txXfrm>
        <a:off x="219404" y="8907093"/>
        <a:ext cx="2554225" cy="479482"/>
      </dsp:txXfrm>
    </dsp:sp>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png"/><Relationship Id="rId5" Type="http://schemas.openxmlformats.org/officeDocument/2006/relationships/image" Target="../media/image15.png"/><Relationship Id="rId4" Type="http://schemas.openxmlformats.org/officeDocument/2006/relationships/image" Target="../media/image1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8.png"/><Relationship Id="rId1" Type="http://schemas.openxmlformats.org/officeDocument/2006/relationships/image" Target="../media/image17.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0.png"/></Relationships>
</file>

<file path=xl/drawings/_rels/drawing17.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1.png"/><Relationship Id="rId2" Type="http://schemas.openxmlformats.org/officeDocument/2006/relationships/diagramData" Target="../diagrams/data1.xml"/><Relationship Id="rId1" Type="http://schemas.openxmlformats.org/officeDocument/2006/relationships/image" Target="../media/image2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3.png"/><Relationship Id="rId1" Type="http://schemas.openxmlformats.org/officeDocument/2006/relationships/image" Target="../media/image22.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5.png"/><Relationship Id="rId1" Type="http://schemas.openxmlformats.org/officeDocument/2006/relationships/image" Target="../media/image2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7.png"/><Relationship Id="rId1" Type="http://schemas.openxmlformats.org/officeDocument/2006/relationships/image" Target="../media/image26.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9.png"/><Relationship Id="rId1" Type="http://schemas.openxmlformats.org/officeDocument/2006/relationships/image" Target="../media/image28.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0.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3.png"/><Relationship Id="rId1" Type="http://schemas.openxmlformats.org/officeDocument/2006/relationships/image" Target="../media/image32.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5.png"/><Relationship Id="rId1" Type="http://schemas.openxmlformats.org/officeDocument/2006/relationships/image" Target="../media/image34.png"/></Relationships>
</file>

<file path=xl/drawings/_rels/drawing2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7.png"/><Relationship Id="rId1" Type="http://schemas.openxmlformats.org/officeDocument/2006/relationships/image" Target="../media/image36.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8.png"/></Relationships>
</file>

<file path=xl/drawings/_rels/drawing2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0.png"/><Relationship Id="rId1" Type="http://schemas.openxmlformats.org/officeDocument/2006/relationships/image" Target="../media/image39.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3.png"/></Relationships>
</file>

<file path=xl/drawings/_rels/drawing32.xml.rels><?xml version="1.0" encoding="UTF-8" standalone="yes"?>
<Relationships xmlns="http://schemas.openxmlformats.org/package/2006/relationships"><Relationship Id="rId3" Type="http://schemas.openxmlformats.org/officeDocument/2006/relationships/image" Target="../media/image46.png"/><Relationship Id="rId2" Type="http://schemas.openxmlformats.org/officeDocument/2006/relationships/image" Target="../media/image45.png"/><Relationship Id="rId1" Type="http://schemas.openxmlformats.org/officeDocument/2006/relationships/image" Target="../media/image44.png"/><Relationship Id="rId4" Type="http://schemas.openxmlformats.org/officeDocument/2006/relationships/image" Target="../media/image1.png"/></Relationships>
</file>

<file path=xl/drawings/_rels/drawing3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8.png"/><Relationship Id="rId1" Type="http://schemas.openxmlformats.org/officeDocument/2006/relationships/image" Target="../media/image47.png"/></Relationships>
</file>

<file path=xl/drawings/drawing1.xml><?xml version="1.0" encoding="utf-8"?>
<xdr:wsDr xmlns:xdr="http://schemas.openxmlformats.org/drawingml/2006/spreadsheetDrawing" xmlns:a="http://schemas.openxmlformats.org/drawingml/2006/main">
  <xdr:twoCellAnchor>
    <xdr:from>
      <xdr:col>0</xdr:col>
      <xdr:colOff>119063</xdr:colOff>
      <xdr:row>0</xdr:row>
      <xdr:rowOff>107157</xdr:rowOff>
    </xdr:from>
    <xdr:to>
      <xdr:col>1</xdr:col>
      <xdr:colOff>571501</xdr:colOff>
      <xdr:row>0</xdr:row>
      <xdr:rowOff>1750220</xdr:rowOff>
    </xdr:to>
    <xdr:pic>
      <xdr:nvPicPr>
        <xdr:cNvPr id="4" name="1 Imagen" descr="ESCUDO-transp-lema-blanco.pn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119063" y="107157"/>
          <a:ext cx="1109663" cy="1643063"/>
        </a:xfrm>
        <a:prstGeom prst="rect">
          <a:avLst/>
        </a:prstGeom>
        <a:noFill/>
        <a:ln w="9525">
          <a:noFill/>
          <a:miter lim="800000"/>
          <a:headEnd/>
          <a:tailEnd/>
        </a:ln>
      </xdr:spPr>
    </xdr:pic>
    <xdr:clientData/>
  </xdr:twoCellAnchor>
  <xdr:twoCellAnchor>
    <xdr:from>
      <xdr:col>1</xdr:col>
      <xdr:colOff>647700</xdr:colOff>
      <xdr:row>0</xdr:row>
      <xdr:rowOff>381000</xdr:rowOff>
    </xdr:from>
    <xdr:to>
      <xdr:col>4</xdr:col>
      <xdr:colOff>59531</xdr:colOff>
      <xdr:row>0</xdr:row>
      <xdr:rowOff>1440656</xdr:rowOff>
    </xdr:to>
    <xdr:sp macro="" textlink="">
      <xdr:nvSpPr>
        <xdr:cNvPr id="5" name="5 CuadroTexto">
          <a:extLst>
            <a:ext uri="{FF2B5EF4-FFF2-40B4-BE49-F238E27FC236}">
              <a16:creationId xmlns:a16="http://schemas.microsoft.com/office/drawing/2014/main" id="{00000000-0008-0000-0400-000005000000}"/>
            </a:ext>
          </a:extLst>
        </xdr:cNvPr>
        <xdr:cNvSpPr txBox="1"/>
      </xdr:nvSpPr>
      <xdr:spPr bwMode="auto">
        <a:xfrm>
          <a:off x="1304925" y="381000"/>
          <a:ext cx="2412206" cy="1059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1209675</xdr:colOff>
      <xdr:row>0</xdr:row>
      <xdr:rowOff>1581150</xdr:rowOff>
    </xdr:to>
    <xdr:pic>
      <xdr:nvPicPr>
        <xdr:cNvPr id="2" name="1 Imagen" descr="ESCUDO-transp-lema-blanco.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96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1266825</xdr:colOff>
      <xdr:row>0</xdr:row>
      <xdr:rowOff>428625</xdr:rowOff>
    </xdr:from>
    <xdr:to>
      <xdr:col>1</xdr:col>
      <xdr:colOff>3609975</xdr:colOff>
      <xdr:row>1</xdr:row>
      <xdr:rowOff>0</xdr:rowOff>
    </xdr:to>
    <xdr:sp macro="" textlink="">
      <xdr:nvSpPr>
        <xdr:cNvPr id="3" name="3 CuadroTexto">
          <a:extLst>
            <a:ext uri="{FF2B5EF4-FFF2-40B4-BE49-F238E27FC236}">
              <a16:creationId xmlns:a16="http://schemas.microsoft.com/office/drawing/2014/main" id="{00000000-0008-0000-0500-000003000000}"/>
            </a:ext>
          </a:extLst>
        </xdr:cNvPr>
        <xdr:cNvSpPr txBox="1"/>
      </xdr:nvSpPr>
      <xdr:spPr bwMode="auto">
        <a:xfrm>
          <a:off x="1266825" y="428625"/>
          <a:ext cx="4619625"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General de Ordenamiento Ambiental Territorial y Coordinación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2484119</xdr:colOff>
      <xdr:row>0</xdr:row>
      <xdr:rowOff>459105</xdr:rowOff>
    </xdr:from>
    <xdr:to>
      <xdr:col>2</xdr:col>
      <xdr:colOff>4261657</xdr:colOff>
      <xdr:row>0</xdr:row>
      <xdr:rowOff>1282065</xdr:rowOff>
    </xdr:to>
    <xdr:sp macro="" textlink="">
      <xdr:nvSpPr>
        <xdr:cNvPr id="5" name="3 CuadroTexto">
          <a:extLst>
            <a:ext uri="{FF2B5EF4-FFF2-40B4-BE49-F238E27FC236}">
              <a16:creationId xmlns:a16="http://schemas.microsoft.com/office/drawing/2014/main" id="{2EB5208E-4F19-4301-8C3A-DD165CDFA069}"/>
            </a:ext>
          </a:extLst>
        </xdr:cNvPr>
        <xdr:cNvSpPr txBox="1"/>
      </xdr:nvSpPr>
      <xdr:spPr bwMode="auto">
        <a:xfrm>
          <a:off x="2874644" y="459105"/>
          <a:ext cx="4730288" cy="822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s-CO" sz="1800" b="1">
              <a:solidFill>
                <a:schemeClr val="accent6"/>
              </a:solidFill>
              <a:latin typeface="Arial Narrow" pitchFamily="34" charset="0"/>
            </a:rPr>
            <a:t>Ministerio</a:t>
          </a:r>
          <a:r>
            <a:rPr lang="es-CO" sz="1800" b="1" baseline="0">
              <a:solidFill>
                <a:schemeClr val="accent6"/>
              </a:solidFill>
              <a:latin typeface="Arial Narrow" pitchFamily="34" charset="0"/>
            </a:rPr>
            <a:t> de Ambiente y Desarrollo Sostenible</a:t>
          </a:r>
        </a:p>
        <a:p>
          <a:pPr algn="ctr"/>
          <a:r>
            <a:rPr lang="es-CO" sz="1400" baseline="0">
              <a:solidFill>
                <a:schemeClr val="accent6"/>
              </a:solidFill>
              <a:latin typeface="Arial Narrow" pitchFamily="34" charset="0"/>
            </a:rPr>
            <a:t>Dirección de Ordenamiento Ambiental Territorial y Sistema Nacional Ambiental.</a:t>
          </a:r>
        </a:p>
      </xdr:txBody>
    </xdr:sp>
    <xdr:clientData/>
  </xdr:twoCellAnchor>
  <xdr:twoCellAnchor editAs="oneCell">
    <xdr:from>
      <xdr:col>0</xdr:col>
      <xdr:colOff>0</xdr:colOff>
      <xdr:row>0</xdr:row>
      <xdr:rowOff>9525</xdr:rowOff>
    </xdr:from>
    <xdr:to>
      <xdr:col>1</xdr:col>
      <xdr:colOff>2385060</xdr:colOff>
      <xdr:row>0</xdr:row>
      <xdr:rowOff>1229994</xdr:rowOff>
    </xdr:to>
    <xdr:pic>
      <xdr:nvPicPr>
        <xdr:cNvPr id="6" name="Imagen 5">
          <a:extLst>
            <a:ext uri="{FF2B5EF4-FFF2-40B4-BE49-F238E27FC236}">
              <a16:creationId xmlns:a16="http://schemas.microsoft.com/office/drawing/2014/main" id="{CAC57258-260B-477D-82C2-1C8381DD98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2775585" cy="1220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1209675</xdr:colOff>
      <xdr:row>0</xdr:row>
      <xdr:rowOff>1581150</xdr:rowOff>
    </xdr:to>
    <xdr:pic>
      <xdr:nvPicPr>
        <xdr:cNvPr id="2" name="1 Imagen" descr="ESCUDO-transp-lema-blanco.png">
          <a:extLst>
            <a:ext uri="{FF2B5EF4-FFF2-40B4-BE49-F238E27FC236}">
              <a16:creationId xmlns:a16="http://schemas.microsoft.com/office/drawing/2014/main" id="{27B338D6-9709-4901-8716-E5FE67DCD1E1}"/>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1209675" cy="1581150"/>
        </a:xfrm>
        <a:prstGeom prst="rect">
          <a:avLst/>
        </a:prstGeom>
        <a:noFill/>
        <a:ln w="9525">
          <a:noFill/>
          <a:miter lim="800000"/>
          <a:headEnd/>
          <a:tailEnd/>
        </a:ln>
      </xdr:spPr>
    </xdr:pic>
    <xdr:clientData/>
  </xdr:twoCellAnchor>
  <xdr:twoCellAnchor>
    <xdr:from>
      <xdr:col>0</xdr:col>
      <xdr:colOff>1266825</xdr:colOff>
      <xdr:row>0</xdr:row>
      <xdr:rowOff>428625</xdr:rowOff>
    </xdr:from>
    <xdr:to>
      <xdr:col>1</xdr:col>
      <xdr:colOff>2924175</xdr:colOff>
      <xdr:row>0</xdr:row>
      <xdr:rowOff>1200150</xdr:rowOff>
    </xdr:to>
    <xdr:sp macro="" textlink="">
      <xdr:nvSpPr>
        <xdr:cNvPr id="3" name="3 CuadroTexto">
          <a:extLst>
            <a:ext uri="{FF2B5EF4-FFF2-40B4-BE49-F238E27FC236}">
              <a16:creationId xmlns:a16="http://schemas.microsoft.com/office/drawing/2014/main" id="{F06BD9D9-8C5F-4C3C-A250-C9070966D51A}"/>
            </a:ext>
          </a:extLst>
        </xdr:cNvPr>
        <xdr:cNvSpPr txBox="1"/>
      </xdr:nvSpPr>
      <xdr:spPr bwMode="auto">
        <a:xfrm>
          <a:off x="1266825" y="428625"/>
          <a:ext cx="4819650"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13607</xdr:colOff>
      <xdr:row>3</xdr:row>
      <xdr:rowOff>435429</xdr:rowOff>
    </xdr:from>
    <xdr:to>
      <xdr:col>0</xdr:col>
      <xdr:colOff>3958478</xdr:colOff>
      <xdr:row>4</xdr:row>
      <xdr:rowOff>1200150</xdr:rowOff>
    </xdr:to>
    <xdr:pic>
      <xdr:nvPicPr>
        <xdr:cNvPr id="2" name="Imagen 1">
          <a:extLst>
            <a:ext uri="{FF2B5EF4-FFF2-40B4-BE49-F238E27FC236}">
              <a16:creationId xmlns:a16="http://schemas.microsoft.com/office/drawing/2014/main" id="{D4310EE4-2721-4284-8E38-90831B7D7F9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196" b="18769"/>
        <a:stretch/>
      </xdr:blipFill>
      <xdr:spPr bwMode="auto">
        <a:xfrm>
          <a:off x="13607" y="435429"/>
          <a:ext cx="3944871"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1860177</xdr:colOff>
      <xdr:row>0</xdr:row>
      <xdr:rowOff>302559</xdr:rowOff>
    </xdr:from>
    <xdr:to>
      <xdr:col>12</xdr:col>
      <xdr:colOff>134471</xdr:colOff>
      <xdr:row>1</xdr:row>
      <xdr:rowOff>0</xdr:rowOff>
    </xdr:to>
    <xdr:sp macro="" textlink="">
      <xdr:nvSpPr>
        <xdr:cNvPr id="3" name="3 CuadroTexto">
          <a:extLst>
            <a:ext uri="{FF2B5EF4-FFF2-40B4-BE49-F238E27FC236}">
              <a16:creationId xmlns:a16="http://schemas.microsoft.com/office/drawing/2014/main" id="{26CFAE71-FCDF-4A2D-8A9C-7E1A0E2BA01D}"/>
            </a:ext>
          </a:extLst>
        </xdr:cNvPr>
        <xdr:cNvSpPr txBox="1"/>
      </xdr:nvSpPr>
      <xdr:spPr bwMode="auto">
        <a:xfrm>
          <a:off x="5841627" y="302559"/>
          <a:ext cx="4388223" cy="1126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s-CO" sz="2800" b="1">
              <a:solidFill>
                <a:schemeClr val="accent6"/>
              </a:solidFill>
              <a:latin typeface="Arial Narrow" pitchFamily="34" charset="0"/>
            </a:rPr>
            <a:t>Ministerio</a:t>
          </a:r>
          <a:r>
            <a:rPr lang="es-CO" sz="2800" b="1" baseline="0">
              <a:solidFill>
                <a:schemeClr val="accent6"/>
              </a:solidFill>
              <a:latin typeface="Arial Narrow" pitchFamily="34" charset="0"/>
            </a:rPr>
            <a:t> de Ambiente y Desarrollo Sostenible</a:t>
          </a:r>
        </a:p>
        <a:p>
          <a:pPr algn="ctr"/>
          <a:r>
            <a:rPr lang="es-CO" sz="2000" baseline="0">
              <a:solidFill>
                <a:schemeClr val="accent6"/>
              </a:solidFill>
              <a:latin typeface="Arial Narrow" pitchFamily="34" charset="0"/>
            </a:rPr>
            <a:t>Dirección de Ordenamiento Ambiental Territorial y Sistema Nacional Ambiental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2636519</xdr:colOff>
      <xdr:row>0</xdr:row>
      <xdr:rowOff>449580</xdr:rowOff>
    </xdr:from>
    <xdr:to>
      <xdr:col>6</xdr:col>
      <xdr:colOff>183369</xdr:colOff>
      <xdr:row>0</xdr:row>
      <xdr:rowOff>1224915</xdr:rowOff>
    </xdr:to>
    <xdr:sp macro="" textlink="">
      <xdr:nvSpPr>
        <xdr:cNvPr id="2" name="3 CuadroTexto">
          <a:extLst>
            <a:ext uri="{FF2B5EF4-FFF2-40B4-BE49-F238E27FC236}">
              <a16:creationId xmlns:a16="http://schemas.microsoft.com/office/drawing/2014/main" id="{BF9EC563-4426-4A10-9B0C-876B6AD6D05E}"/>
            </a:ext>
          </a:extLst>
        </xdr:cNvPr>
        <xdr:cNvSpPr txBox="1"/>
      </xdr:nvSpPr>
      <xdr:spPr bwMode="auto">
        <a:xfrm>
          <a:off x="1522094" y="192405"/>
          <a:ext cx="323327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s-CO" sz="1800" b="1">
              <a:solidFill>
                <a:schemeClr val="accent6"/>
              </a:solidFill>
              <a:latin typeface="Arial Narrow" pitchFamily="34" charset="0"/>
            </a:rPr>
            <a:t>Ministerio</a:t>
          </a:r>
          <a:r>
            <a:rPr lang="es-CO" sz="1800" b="1" baseline="0">
              <a:solidFill>
                <a:schemeClr val="accent6"/>
              </a:solidFill>
              <a:latin typeface="Arial Narrow" pitchFamily="34" charset="0"/>
            </a:rPr>
            <a:t> de Ambiente y Desarrollo Sostenible</a:t>
          </a:r>
        </a:p>
        <a:p>
          <a:pPr algn="ctr"/>
          <a:r>
            <a:rPr lang="es-CO" sz="1400" baseline="0">
              <a:solidFill>
                <a:schemeClr val="accent6"/>
              </a:solidFill>
              <a:latin typeface="Arial Narrow" pitchFamily="34" charset="0"/>
            </a:rPr>
            <a:t>Dirección de Ordenamiento Ambiental Territorial y Sistema Nacional Ambiental.</a:t>
          </a:r>
        </a:p>
      </xdr:txBody>
    </xdr:sp>
    <xdr:clientData/>
  </xdr:twoCellAnchor>
  <xdr:oneCellAnchor>
    <xdr:from>
      <xdr:col>0</xdr:col>
      <xdr:colOff>0</xdr:colOff>
      <xdr:row>0</xdr:row>
      <xdr:rowOff>0</xdr:rowOff>
    </xdr:from>
    <xdr:ext cx="2772492" cy="1220469"/>
    <xdr:pic>
      <xdr:nvPicPr>
        <xdr:cNvPr id="3" name="Imagen 2">
          <a:extLst>
            <a:ext uri="{FF2B5EF4-FFF2-40B4-BE49-F238E27FC236}">
              <a16:creationId xmlns:a16="http://schemas.microsoft.com/office/drawing/2014/main" id="{51A67827-C8EF-4D4A-B8C9-21919B8C1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72492" cy="12204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3</xdr:col>
      <xdr:colOff>0</xdr:colOff>
      <xdr:row>166</xdr:row>
      <xdr:rowOff>167640</xdr:rowOff>
    </xdr:from>
    <xdr:to>
      <xdr:col>5</xdr:col>
      <xdr:colOff>84107</xdr:colOff>
      <xdr:row>167</xdr:row>
      <xdr:rowOff>121932</xdr:rowOff>
    </xdr:to>
    <xdr:pic>
      <xdr:nvPicPr>
        <xdr:cNvPr id="2" name="Imagen 1">
          <a:extLst>
            <a:ext uri="{FF2B5EF4-FFF2-40B4-BE49-F238E27FC236}">
              <a16:creationId xmlns:a16="http://schemas.microsoft.com/office/drawing/2014/main" id="{A8C8B333-CC8B-4362-9FCC-92E8C4D3920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14575" y="31790640"/>
          <a:ext cx="1627157" cy="144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373381</xdr:colOff>
      <xdr:row>201</xdr:row>
      <xdr:rowOff>38100</xdr:rowOff>
    </xdr:from>
    <xdr:to>
      <xdr:col>3</xdr:col>
      <xdr:colOff>1257378</xdr:colOff>
      <xdr:row>202</xdr:row>
      <xdr:rowOff>68598</xdr:rowOff>
    </xdr:to>
    <xdr:pic>
      <xdr:nvPicPr>
        <xdr:cNvPr id="3" name="Imagen 2">
          <a:extLst>
            <a:ext uri="{FF2B5EF4-FFF2-40B4-BE49-F238E27FC236}">
              <a16:creationId xmlns:a16="http://schemas.microsoft.com/office/drawing/2014/main" id="{64CB6480-4DD7-4CF0-9785-16529F6BFD29}"/>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7956" y="38328600"/>
          <a:ext cx="398222" cy="220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137161</xdr:colOff>
      <xdr:row>209</xdr:row>
      <xdr:rowOff>38100</xdr:rowOff>
    </xdr:from>
    <xdr:to>
      <xdr:col>3</xdr:col>
      <xdr:colOff>1691776</xdr:colOff>
      <xdr:row>209</xdr:row>
      <xdr:rowOff>335306</xdr:rowOff>
    </xdr:to>
    <xdr:pic>
      <xdr:nvPicPr>
        <xdr:cNvPr id="4" name="Imagen 3">
          <a:extLst>
            <a:ext uri="{FF2B5EF4-FFF2-40B4-BE49-F238E27FC236}">
              <a16:creationId xmlns:a16="http://schemas.microsoft.com/office/drawing/2014/main" id="{49DBC0DA-C241-4BD6-A5CB-7D1BE2BB672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51736" y="39852600"/>
          <a:ext cx="630690" cy="15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228601</xdr:colOff>
      <xdr:row>101</xdr:row>
      <xdr:rowOff>53340</xdr:rowOff>
    </xdr:from>
    <xdr:to>
      <xdr:col>5</xdr:col>
      <xdr:colOff>312708</xdr:colOff>
      <xdr:row>101</xdr:row>
      <xdr:rowOff>190512</xdr:rowOff>
    </xdr:to>
    <xdr:pic>
      <xdr:nvPicPr>
        <xdr:cNvPr id="5" name="Imagen 4">
          <a:extLst>
            <a:ext uri="{FF2B5EF4-FFF2-40B4-BE49-F238E27FC236}">
              <a16:creationId xmlns:a16="http://schemas.microsoft.com/office/drawing/2014/main" id="{98242092-73FE-40AE-A757-D135881FA4D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43176" y="19293840"/>
          <a:ext cx="1627157" cy="137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0</xdr:row>
      <xdr:rowOff>1261675</xdr:rowOff>
    </xdr:to>
    <xdr:grpSp>
      <xdr:nvGrpSpPr>
        <xdr:cNvPr id="6" name="1 Grupo">
          <a:extLst>
            <a:ext uri="{FF2B5EF4-FFF2-40B4-BE49-F238E27FC236}">
              <a16:creationId xmlns:a16="http://schemas.microsoft.com/office/drawing/2014/main" id="{47D64C57-4722-4FF6-B426-DDB931FD4CE5}"/>
            </a:ext>
          </a:extLst>
        </xdr:cNvPr>
        <xdr:cNvGrpSpPr>
          <a:grpSpLocks/>
        </xdr:cNvGrpSpPr>
      </xdr:nvGrpSpPr>
      <xdr:grpSpPr bwMode="auto">
        <a:xfrm>
          <a:off x="0" y="0"/>
          <a:ext cx="5462301" cy="1261675"/>
          <a:chOff x="57150" y="47625"/>
          <a:chExt cx="6316603" cy="1200288"/>
        </a:xfrm>
      </xdr:grpSpPr>
      <xdr:pic>
        <xdr:nvPicPr>
          <xdr:cNvPr id="7" name="1 Imagen" descr="ESCUDO-transp-lema-blanco.png">
            <a:extLst>
              <a:ext uri="{FF2B5EF4-FFF2-40B4-BE49-F238E27FC236}">
                <a16:creationId xmlns:a16="http://schemas.microsoft.com/office/drawing/2014/main" id="{080E95AF-A065-1D5B-55C1-8FB44ADFCC2D}"/>
              </a:ext>
            </a:extLst>
          </xdr:cNvPr>
          <xdr:cNvPicPr>
            <a:picLocks noChangeAspect="1"/>
          </xdr:cNvPicPr>
        </xdr:nvPicPr>
        <xdr:blipFill>
          <a:blip xmlns:r="http://schemas.openxmlformats.org/officeDocument/2006/relationships" r:embed="rId4"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8" name="3 CuadroTexto">
            <a:extLst>
              <a:ext uri="{FF2B5EF4-FFF2-40B4-BE49-F238E27FC236}">
                <a16:creationId xmlns:a16="http://schemas.microsoft.com/office/drawing/2014/main" id="{40494D09-6554-73C1-AA1A-30EDDF3F3323}"/>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601981</xdr:colOff>
      <xdr:row>69</xdr:row>
      <xdr:rowOff>0</xdr:rowOff>
    </xdr:from>
    <xdr:to>
      <xdr:col>3</xdr:col>
      <xdr:colOff>2065148</xdr:colOff>
      <xdr:row>70</xdr:row>
      <xdr:rowOff>83843</xdr:rowOff>
    </xdr:to>
    <xdr:pic>
      <xdr:nvPicPr>
        <xdr:cNvPr id="2" name="Imagen 1">
          <a:extLst>
            <a:ext uri="{FF2B5EF4-FFF2-40B4-BE49-F238E27FC236}">
              <a16:creationId xmlns:a16="http://schemas.microsoft.com/office/drawing/2014/main" id="{7BF82E96-6F3D-427D-8F94-1F1D588ADCF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87981" y="13144500"/>
          <a:ext cx="158242" cy="274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D8A785A7-A1E1-44AB-977D-58949C1CBE59}"/>
            </a:ext>
          </a:extLst>
        </xdr:cNvPr>
        <xdr:cNvGrpSpPr>
          <a:grpSpLocks/>
        </xdr:cNvGrpSpPr>
      </xdr:nvGrpSpPr>
      <xdr:grpSpPr bwMode="auto">
        <a:xfrm>
          <a:off x="0" y="0"/>
          <a:ext cx="5394266" cy="1277615"/>
          <a:chOff x="57150" y="47625"/>
          <a:chExt cx="6316603" cy="1200288"/>
        </a:xfrm>
      </xdr:grpSpPr>
      <xdr:pic>
        <xdr:nvPicPr>
          <xdr:cNvPr id="4" name="1 Imagen" descr="ESCUDO-transp-lema-blanco.png">
            <a:extLst>
              <a:ext uri="{FF2B5EF4-FFF2-40B4-BE49-F238E27FC236}">
                <a16:creationId xmlns:a16="http://schemas.microsoft.com/office/drawing/2014/main" id="{5E1324EF-A8E6-94D1-0EA8-2A6218D79219}"/>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7BB9C6ED-A143-AD20-64B9-69707309565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186612</xdr:colOff>
      <xdr:row>61</xdr:row>
      <xdr:rowOff>124408</xdr:rowOff>
    </xdr:from>
    <xdr:to>
      <xdr:col>2</xdr:col>
      <xdr:colOff>1772319</xdr:colOff>
      <xdr:row>63</xdr:row>
      <xdr:rowOff>23241</xdr:rowOff>
    </xdr:to>
    <xdr:pic>
      <xdr:nvPicPr>
        <xdr:cNvPr id="2" name="Imagen 1">
          <a:extLst>
            <a:ext uri="{FF2B5EF4-FFF2-40B4-BE49-F238E27FC236}">
              <a16:creationId xmlns:a16="http://schemas.microsoft.com/office/drawing/2014/main" id="{9F310270-4658-4D0A-A631-0FA886DDF4F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10612" y="11744908"/>
          <a:ext cx="576057" cy="279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4CF532F4-C7E6-4AA8-964B-79F3A89C072C}"/>
            </a:ext>
          </a:extLst>
        </xdr:cNvPr>
        <xdr:cNvGrpSpPr>
          <a:grpSpLocks/>
        </xdr:cNvGrpSpPr>
      </xdr:nvGrpSpPr>
      <xdr:grpSpPr bwMode="auto">
        <a:xfrm>
          <a:off x="0" y="0"/>
          <a:ext cx="5316510" cy="1277615"/>
          <a:chOff x="57150" y="47625"/>
          <a:chExt cx="6316603" cy="1200288"/>
        </a:xfrm>
      </xdr:grpSpPr>
      <xdr:pic>
        <xdr:nvPicPr>
          <xdr:cNvPr id="4" name="1 Imagen" descr="ESCUDO-transp-lema-blanco.png">
            <a:extLst>
              <a:ext uri="{FF2B5EF4-FFF2-40B4-BE49-F238E27FC236}">
                <a16:creationId xmlns:a16="http://schemas.microsoft.com/office/drawing/2014/main" id="{98DF8CDA-C6CA-B99B-18A5-6F1296E4BB7D}"/>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CBF996E5-AB8F-253D-EF9B-CFEEDB037603}"/>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548640</xdr:colOff>
      <xdr:row>62</xdr:row>
      <xdr:rowOff>160020</xdr:rowOff>
    </xdr:from>
    <xdr:to>
      <xdr:col>2</xdr:col>
      <xdr:colOff>1714601</xdr:colOff>
      <xdr:row>64</xdr:row>
      <xdr:rowOff>60983</xdr:rowOff>
    </xdr:to>
    <xdr:pic>
      <xdr:nvPicPr>
        <xdr:cNvPr id="2" name="Imagen 1">
          <a:extLst>
            <a:ext uri="{FF2B5EF4-FFF2-40B4-BE49-F238E27FC236}">
              <a16:creationId xmlns:a16="http://schemas.microsoft.com/office/drawing/2014/main" id="{7719EF5E-23BC-4081-BDBD-3C7AC131EBB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72640" y="11971020"/>
          <a:ext cx="213461" cy="281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064E4D86-1955-4D67-90EF-544EA724026C}"/>
            </a:ext>
          </a:extLst>
        </xdr:cNvPr>
        <xdr:cNvGrpSpPr>
          <a:grpSpLocks/>
        </xdr:cNvGrpSpPr>
      </xdr:nvGrpSpPr>
      <xdr:grpSpPr bwMode="auto">
        <a:xfrm>
          <a:off x="0" y="0"/>
          <a:ext cx="5316510" cy="1277615"/>
          <a:chOff x="57150" y="47625"/>
          <a:chExt cx="6316603" cy="1200288"/>
        </a:xfrm>
      </xdr:grpSpPr>
      <xdr:pic>
        <xdr:nvPicPr>
          <xdr:cNvPr id="4" name="1 Imagen" descr="ESCUDO-transp-lema-blanco.png">
            <a:extLst>
              <a:ext uri="{FF2B5EF4-FFF2-40B4-BE49-F238E27FC236}">
                <a16:creationId xmlns:a16="http://schemas.microsoft.com/office/drawing/2014/main" id="{A4F2EFBC-1E65-2D50-3C47-1E48BC39E13B}"/>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44217B1D-1862-4B21-877E-A076A0FEC2A6}"/>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381000</xdr:colOff>
      <xdr:row>66</xdr:row>
      <xdr:rowOff>160020</xdr:rowOff>
    </xdr:from>
    <xdr:to>
      <xdr:col>2</xdr:col>
      <xdr:colOff>2065166</xdr:colOff>
      <xdr:row>68</xdr:row>
      <xdr:rowOff>60983</xdr:rowOff>
    </xdr:to>
    <xdr:pic>
      <xdr:nvPicPr>
        <xdr:cNvPr id="2" name="Imagen 1">
          <a:extLst>
            <a:ext uri="{FF2B5EF4-FFF2-40B4-BE49-F238E27FC236}">
              <a16:creationId xmlns:a16="http://schemas.microsoft.com/office/drawing/2014/main" id="{7F5E4882-953D-4386-BC54-D13BDB5F9AA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05000" y="12733020"/>
          <a:ext cx="379241" cy="281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EDE4F13D-C219-4482-9997-AF50A3B9C73D}"/>
            </a:ext>
          </a:extLst>
        </xdr:cNvPr>
        <xdr:cNvGrpSpPr>
          <a:grpSpLocks/>
        </xdr:cNvGrpSpPr>
      </xdr:nvGrpSpPr>
      <xdr:grpSpPr bwMode="auto">
        <a:xfrm>
          <a:off x="0" y="0"/>
          <a:ext cx="5316510" cy="1277615"/>
          <a:chOff x="57150" y="47625"/>
          <a:chExt cx="6316603" cy="1200288"/>
        </a:xfrm>
      </xdr:grpSpPr>
      <xdr:pic>
        <xdr:nvPicPr>
          <xdr:cNvPr id="4" name="1 Imagen" descr="ESCUDO-transp-lema-blanco.png">
            <a:extLst>
              <a:ext uri="{FF2B5EF4-FFF2-40B4-BE49-F238E27FC236}">
                <a16:creationId xmlns:a16="http://schemas.microsoft.com/office/drawing/2014/main" id="{E8B1CCC5-21D0-5345-87DC-65D000960136}"/>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13ACD602-DF69-1C54-5C38-EB56F5241C51}"/>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30481</xdr:colOff>
      <xdr:row>87</xdr:row>
      <xdr:rowOff>144780</xdr:rowOff>
    </xdr:from>
    <xdr:to>
      <xdr:col>2</xdr:col>
      <xdr:colOff>2372310</xdr:colOff>
      <xdr:row>87</xdr:row>
      <xdr:rowOff>240800</xdr:rowOff>
    </xdr:to>
    <xdr:pic>
      <xdr:nvPicPr>
        <xdr:cNvPr id="2" name="Imagen 1">
          <a:extLst>
            <a:ext uri="{FF2B5EF4-FFF2-40B4-BE49-F238E27FC236}">
              <a16:creationId xmlns:a16="http://schemas.microsoft.com/office/drawing/2014/main" id="{5714FC2A-8FDC-41F4-BD31-B167317EC009}"/>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54481" y="16718280"/>
          <a:ext cx="732104" cy="48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411481</xdr:colOff>
      <xdr:row>98</xdr:row>
      <xdr:rowOff>0</xdr:rowOff>
    </xdr:from>
    <xdr:to>
      <xdr:col>2</xdr:col>
      <xdr:colOff>1718424</xdr:colOff>
      <xdr:row>99</xdr:row>
      <xdr:rowOff>3826</xdr:rowOff>
    </xdr:to>
    <xdr:pic>
      <xdr:nvPicPr>
        <xdr:cNvPr id="3" name="Imagen 2">
          <a:extLst>
            <a:ext uri="{FF2B5EF4-FFF2-40B4-BE49-F238E27FC236}">
              <a16:creationId xmlns:a16="http://schemas.microsoft.com/office/drawing/2014/main" id="{57FACA9A-8273-4637-9D6A-332FAD6715F7}"/>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35481" y="18669000"/>
          <a:ext cx="354443" cy="19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624841</xdr:colOff>
      <xdr:row>104</xdr:row>
      <xdr:rowOff>15240</xdr:rowOff>
    </xdr:from>
    <xdr:to>
      <xdr:col>2</xdr:col>
      <xdr:colOff>1654392</xdr:colOff>
      <xdr:row>105</xdr:row>
      <xdr:rowOff>19066</xdr:rowOff>
    </xdr:to>
    <xdr:pic>
      <xdr:nvPicPr>
        <xdr:cNvPr id="4" name="Imagen 3">
          <a:extLst>
            <a:ext uri="{FF2B5EF4-FFF2-40B4-BE49-F238E27FC236}">
              <a16:creationId xmlns:a16="http://schemas.microsoft.com/office/drawing/2014/main" id="{B25ED0FD-FE07-432B-8CE8-56A6EE30E5E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8841" y="19827240"/>
          <a:ext cx="134201" cy="19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594360</xdr:colOff>
      <xdr:row>110</xdr:row>
      <xdr:rowOff>144780</xdr:rowOff>
    </xdr:from>
    <xdr:to>
      <xdr:col>2</xdr:col>
      <xdr:colOff>1655918</xdr:colOff>
      <xdr:row>111</xdr:row>
      <xdr:rowOff>148606</xdr:rowOff>
    </xdr:to>
    <xdr:pic>
      <xdr:nvPicPr>
        <xdr:cNvPr id="5" name="Imagen 4">
          <a:extLst>
            <a:ext uri="{FF2B5EF4-FFF2-40B4-BE49-F238E27FC236}">
              <a16:creationId xmlns:a16="http://schemas.microsoft.com/office/drawing/2014/main" id="{0982D038-E318-497D-9383-D8C824F88BBA}"/>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18360" y="21099780"/>
          <a:ext cx="166208" cy="19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365760</xdr:colOff>
      <xdr:row>117</xdr:row>
      <xdr:rowOff>53341</xdr:rowOff>
    </xdr:from>
    <xdr:to>
      <xdr:col>2</xdr:col>
      <xdr:colOff>2206150</xdr:colOff>
      <xdr:row>118</xdr:row>
      <xdr:rowOff>41164</xdr:rowOff>
    </xdr:to>
    <xdr:pic>
      <xdr:nvPicPr>
        <xdr:cNvPr id="6" name="Imagen 5">
          <a:extLst>
            <a:ext uri="{FF2B5EF4-FFF2-40B4-BE49-F238E27FC236}">
              <a16:creationId xmlns:a16="http://schemas.microsoft.com/office/drawing/2014/main" id="{F5FD913A-B9F9-4135-89AD-A64417B4659E}"/>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89760" y="22341841"/>
          <a:ext cx="392590" cy="178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7" name="1 Grupo">
          <a:extLst>
            <a:ext uri="{FF2B5EF4-FFF2-40B4-BE49-F238E27FC236}">
              <a16:creationId xmlns:a16="http://schemas.microsoft.com/office/drawing/2014/main" id="{1BF4EB28-4732-451F-A224-96DDDB9BE5B8}"/>
            </a:ext>
          </a:extLst>
        </xdr:cNvPr>
        <xdr:cNvGrpSpPr>
          <a:grpSpLocks/>
        </xdr:cNvGrpSpPr>
      </xdr:nvGrpSpPr>
      <xdr:grpSpPr bwMode="auto">
        <a:xfrm>
          <a:off x="0" y="0"/>
          <a:ext cx="5316510" cy="1277615"/>
          <a:chOff x="57150" y="47625"/>
          <a:chExt cx="6316603" cy="1200288"/>
        </a:xfrm>
      </xdr:grpSpPr>
      <xdr:pic>
        <xdr:nvPicPr>
          <xdr:cNvPr id="8" name="1 Imagen" descr="ESCUDO-transp-lema-blanco.png">
            <a:extLst>
              <a:ext uri="{FF2B5EF4-FFF2-40B4-BE49-F238E27FC236}">
                <a16:creationId xmlns:a16="http://schemas.microsoft.com/office/drawing/2014/main" id="{BF7F9F0B-0710-0512-BFCB-A544ABFFCB47}"/>
              </a:ext>
            </a:extLst>
          </xdr:cNvPr>
          <xdr:cNvPicPr>
            <a:picLocks noChangeAspect="1"/>
          </xdr:cNvPicPr>
        </xdr:nvPicPr>
        <xdr:blipFill>
          <a:blip xmlns:r="http://schemas.openxmlformats.org/officeDocument/2006/relationships" r:embed="rId6"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9" name="3 CuadroTexto">
            <a:extLst>
              <a:ext uri="{FF2B5EF4-FFF2-40B4-BE49-F238E27FC236}">
                <a16:creationId xmlns:a16="http://schemas.microsoft.com/office/drawing/2014/main" id="{4DC572F1-45EE-D11C-1BCB-2EDAD7574702}"/>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518160</xdr:colOff>
      <xdr:row>91</xdr:row>
      <xdr:rowOff>0</xdr:rowOff>
    </xdr:from>
    <xdr:to>
      <xdr:col>2</xdr:col>
      <xdr:colOff>1920362</xdr:colOff>
      <xdr:row>92</xdr:row>
      <xdr:rowOff>83843</xdr:rowOff>
    </xdr:to>
    <xdr:pic>
      <xdr:nvPicPr>
        <xdr:cNvPr id="2" name="Imagen 1">
          <a:extLst>
            <a:ext uri="{FF2B5EF4-FFF2-40B4-BE49-F238E27FC236}">
              <a16:creationId xmlns:a16="http://schemas.microsoft.com/office/drawing/2014/main" id="{A5C4A312-7AFF-4305-B479-EA8D66203FD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42160" y="17335500"/>
          <a:ext cx="240152" cy="274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EC3F5E6E-E03F-495C-9F95-A12B9D1FEEBB}"/>
            </a:ext>
          </a:extLst>
        </xdr:cNvPr>
        <xdr:cNvGrpSpPr>
          <a:grpSpLocks/>
        </xdr:cNvGrpSpPr>
      </xdr:nvGrpSpPr>
      <xdr:grpSpPr bwMode="auto">
        <a:xfrm>
          <a:off x="0" y="0"/>
          <a:ext cx="5316510" cy="1277615"/>
          <a:chOff x="57150" y="47625"/>
          <a:chExt cx="6316603" cy="1200288"/>
        </a:xfrm>
      </xdr:grpSpPr>
      <xdr:pic>
        <xdr:nvPicPr>
          <xdr:cNvPr id="4" name="1 Imagen" descr="ESCUDO-transp-lema-blanco.png">
            <a:extLst>
              <a:ext uri="{FF2B5EF4-FFF2-40B4-BE49-F238E27FC236}">
                <a16:creationId xmlns:a16="http://schemas.microsoft.com/office/drawing/2014/main" id="{D44709C3-BF73-C353-EB13-E222501174D2}"/>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6380218F-7E1B-F524-473D-BE7DABF443AB}"/>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640080</xdr:colOff>
      <xdr:row>82</xdr:row>
      <xdr:rowOff>38100</xdr:rowOff>
    </xdr:from>
    <xdr:to>
      <xdr:col>2</xdr:col>
      <xdr:colOff>1680300</xdr:colOff>
      <xdr:row>83</xdr:row>
      <xdr:rowOff>68598</xdr:rowOff>
    </xdr:to>
    <xdr:pic>
      <xdr:nvPicPr>
        <xdr:cNvPr id="2" name="Imagen 1">
          <a:extLst>
            <a:ext uri="{FF2B5EF4-FFF2-40B4-BE49-F238E27FC236}">
              <a16:creationId xmlns:a16="http://schemas.microsoft.com/office/drawing/2014/main" id="{4BB0083B-E8D2-473A-9BB9-D134910CE07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64080" y="15659100"/>
          <a:ext cx="125820" cy="220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647700</xdr:colOff>
      <xdr:row>89</xdr:row>
      <xdr:rowOff>419100</xdr:rowOff>
    </xdr:from>
    <xdr:to>
      <xdr:col>2</xdr:col>
      <xdr:colOff>1752696</xdr:colOff>
      <xdr:row>91</xdr:row>
      <xdr:rowOff>152432</xdr:rowOff>
    </xdr:to>
    <xdr:pic>
      <xdr:nvPicPr>
        <xdr:cNvPr id="3" name="Imagen 2">
          <a:extLst>
            <a:ext uri="{FF2B5EF4-FFF2-40B4-BE49-F238E27FC236}">
              <a16:creationId xmlns:a16="http://schemas.microsoft.com/office/drawing/2014/main" id="{8A2F802C-DF26-4330-BB25-2FA60B11AF39}"/>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71700" y="17145000"/>
          <a:ext cx="114396" cy="342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F7902059-2DD2-41AB-A48C-0E8B54CC18B5}"/>
            </a:ext>
          </a:extLst>
        </xdr:cNvPr>
        <xdr:cNvGrpSpPr>
          <a:grpSpLocks/>
        </xdr:cNvGrpSpPr>
      </xdr:nvGrpSpPr>
      <xdr:grpSpPr bwMode="auto">
        <a:xfrm>
          <a:off x="0" y="0"/>
          <a:ext cx="5316510" cy="1277615"/>
          <a:chOff x="57150" y="47625"/>
          <a:chExt cx="6316603" cy="1200288"/>
        </a:xfrm>
      </xdr:grpSpPr>
      <xdr:pic>
        <xdr:nvPicPr>
          <xdr:cNvPr id="5" name="1 Imagen" descr="ESCUDO-transp-lema-blanco.png">
            <a:extLst>
              <a:ext uri="{FF2B5EF4-FFF2-40B4-BE49-F238E27FC236}">
                <a16:creationId xmlns:a16="http://schemas.microsoft.com/office/drawing/2014/main" id="{B525A031-78D9-B484-F67C-2DB1DB32CB0B}"/>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5C9863BB-F397-BB21-2C98-D5531ADB689B}"/>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548641</xdr:colOff>
      <xdr:row>145</xdr:row>
      <xdr:rowOff>15240</xdr:rowOff>
    </xdr:from>
    <xdr:to>
      <xdr:col>2</xdr:col>
      <xdr:colOff>2088014</xdr:colOff>
      <xdr:row>146</xdr:row>
      <xdr:rowOff>137186</xdr:rowOff>
    </xdr:to>
    <xdr:pic>
      <xdr:nvPicPr>
        <xdr:cNvPr id="2" name="Imagen 1">
          <a:extLst>
            <a:ext uri="{FF2B5EF4-FFF2-40B4-BE49-F238E27FC236}">
              <a16:creationId xmlns:a16="http://schemas.microsoft.com/office/drawing/2014/main" id="{E82D1042-D3FB-4682-89F1-F00F6DE3916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72641" y="27637740"/>
          <a:ext cx="215398" cy="312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8904AA59-B399-4A4F-9754-F82EB6F17482}"/>
            </a:ext>
          </a:extLst>
        </xdr:cNvPr>
        <xdr:cNvGrpSpPr>
          <a:grpSpLocks/>
        </xdr:cNvGrpSpPr>
      </xdr:nvGrpSpPr>
      <xdr:grpSpPr bwMode="auto">
        <a:xfrm>
          <a:off x="0" y="0"/>
          <a:ext cx="5316510" cy="1277615"/>
          <a:chOff x="57150" y="47625"/>
          <a:chExt cx="6316603" cy="1200288"/>
        </a:xfrm>
      </xdr:grpSpPr>
      <xdr:pic>
        <xdr:nvPicPr>
          <xdr:cNvPr id="4" name="1 Imagen" descr="ESCUDO-transp-lema-blanco.png">
            <a:extLst>
              <a:ext uri="{FF2B5EF4-FFF2-40B4-BE49-F238E27FC236}">
                <a16:creationId xmlns:a16="http://schemas.microsoft.com/office/drawing/2014/main" id="{7147BE7D-05BF-5D10-019E-ADFA3AD88484}"/>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1960F031-6619-CEE7-8202-D85D662EEBFF}"/>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556261</xdr:colOff>
      <xdr:row>79</xdr:row>
      <xdr:rowOff>30480</xdr:rowOff>
    </xdr:from>
    <xdr:to>
      <xdr:col>2</xdr:col>
      <xdr:colOff>2187082</xdr:colOff>
      <xdr:row>80</xdr:row>
      <xdr:rowOff>129564</xdr:rowOff>
    </xdr:to>
    <xdr:pic>
      <xdr:nvPicPr>
        <xdr:cNvPr id="2" name="Imagen 1">
          <a:extLst>
            <a:ext uri="{FF2B5EF4-FFF2-40B4-BE49-F238E27FC236}">
              <a16:creationId xmlns:a16="http://schemas.microsoft.com/office/drawing/2014/main" id="{7994CBF4-701B-48AD-A20B-5C8B57B8022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80261" y="15079980"/>
          <a:ext cx="202071" cy="289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9FF8A6F0-C3CD-4EED-AB03-EB100398DF5D}"/>
            </a:ext>
          </a:extLst>
        </xdr:cNvPr>
        <xdr:cNvGrpSpPr>
          <a:grpSpLocks/>
        </xdr:cNvGrpSpPr>
      </xdr:nvGrpSpPr>
      <xdr:grpSpPr bwMode="auto">
        <a:xfrm>
          <a:off x="0" y="0"/>
          <a:ext cx="5316510" cy="1277615"/>
          <a:chOff x="57150" y="47625"/>
          <a:chExt cx="6316603" cy="1200288"/>
        </a:xfrm>
      </xdr:grpSpPr>
      <xdr:pic>
        <xdr:nvPicPr>
          <xdr:cNvPr id="4" name="1 Imagen" descr="ESCUDO-transp-lema-blanco.png">
            <a:extLst>
              <a:ext uri="{FF2B5EF4-FFF2-40B4-BE49-F238E27FC236}">
                <a16:creationId xmlns:a16="http://schemas.microsoft.com/office/drawing/2014/main" id="{17F1116B-B3B3-622A-416C-C20D4D3DD6E2}"/>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6A53E15B-43F0-85BA-B0EA-D71F122D5A3E}"/>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472440</xdr:colOff>
      <xdr:row>84</xdr:row>
      <xdr:rowOff>15240</xdr:rowOff>
    </xdr:from>
    <xdr:to>
      <xdr:col>2</xdr:col>
      <xdr:colOff>2110882</xdr:colOff>
      <xdr:row>85</xdr:row>
      <xdr:rowOff>137186</xdr:rowOff>
    </xdr:to>
    <xdr:pic>
      <xdr:nvPicPr>
        <xdr:cNvPr id="2" name="Imagen 1">
          <a:extLst>
            <a:ext uri="{FF2B5EF4-FFF2-40B4-BE49-F238E27FC236}">
              <a16:creationId xmlns:a16="http://schemas.microsoft.com/office/drawing/2014/main" id="{FEFAC90A-9D9A-45CA-A5DE-E28AB6BFDA4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96440" y="16017240"/>
          <a:ext cx="285892" cy="312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0</xdr:colOff>
      <xdr:row>18</xdr:row>
      <xdr:rowOff>0</xdr:rowOff>
    </xdr:from>
    <xdr:to>
      <xdr:col>21</xdr:col>
      <xdr:colOff>675005</xdr:colOff>
      <xdr:row>61</xdr:row>
      <xdr:rowOff>73660</xdr:rowOff>
    </xdr:to>
    <xdr:graphicFrame macro="">
      <xdr:nvGraphicFramePr>
        <xdr:cNvPr id="3" name="Diagrama 2">
          <a:extLst>
            <a:ext uri="{FF2B5EF4-FFF2-40B4-BE49-F238E27FC236}">
              <a16:creationId xmlns:a16="http://schemas.microsoft.com/office/drawing/2014/main" id="{AE5D7F57-7220-4768-99B6-9F8F9E265DD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4DBF49A9-D860-46D2-AAC2-7176EE5292BB}"/>
            </a:ext>
          </a:extLst>
        </xdr:cNvPr>
        <xdr:cNvGrpSpPr>
          <a:grpSpLocks/>
        </xdr:cNvGrpSpPr>
      </xdr:nvGrpSpPr>
      <xdr:grpSpPr bwMode="auto">
        <a:xfrm>
          <a:off x="0" y="0"/>
          <a:ext cx="5316510" cy="1277615"/>
          <a:chOff x="57150" y="47625"/>
          <a:chExt cx="6316603" cy="1200288"/>
        </a:xfrm>
      </xdr:grpSpPr>
      <xdr:pic>
        <xdr:nvPicPr>
          <xdr:cNvPr id="5" name="1 Imagen" descr="ESCUDO-transp-lema-blanco.png">
            <a:extLst>
              <a:ext uri="{FF2B5EF4-FFF2-40B4-BE49-F238E27FC236}">
                <a16:creationId xmlns:a16="http://schemas.microsoft.com/office/drawing/2014/main" id="{D47D39A5-6C18-FE72-E9B4-29A155E88B9F}"/>
              </a:ext>
            </a:extLst>
          </xdr:cNvPr>
          <xdr:cNvPicPr>
            <a:picLocks noChangeAspect="1"/>
          </xdr:cNvPicPr>
        </xdr:nvPicPr>
        <xdr:blipFill>
          <a:blip xmlns:r="http://schemas.openxmlformats.org/officeDocument/2006/relationships" r:embed="rId7"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91145990-DF01-B012-973A-D8C539530689}"/>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647701</xdr:colOff>
      <xdr:row>81</xdr:row>
      <xdr:rowOff>68580</xdr:rowOff>
    </xdr:from>
    <xdr:to>
      <xdr:col>2</xdr:col>
      <xdr:colOff>1905110</xdr:colOff>
      <xdr:row>83</xdr:row>
      <xdr:rowOff>26</xdr:rowOff>
    </xdr:to>
    <xdr:pic>
      <xdr:nvPicPr>
        <xdr:cNvPr id="2" name="Imagen 1">
          <a:extLst>
            <a:ext uri="{FF2B5EF4-FFF2-40B4-BE49-F238E27FC236}">
              <a16:creationId xmlns:a16="http://schemas.microsoft.com/office/drawing/2014/main" id="{CC2E3F9B-7720-4A2E-A0E3-ABBDAEFB744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71701" y="15499080"/>
          <a:ext cx="114409" cy="312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723901</xdr:colOff>
      <xdr:row>88</xdr:row>
      <xdr:rowOff>53340</xdr:rowOff>
    </xdr:from>
    <xdr:to>
      <xdr:col>2</xdr:col>
      <xdr:colOff>1775552</xdr:colOff>
      <xdr:row>90</xdr:row>
      <xdr:rowOff>60992</xdr:rowOff>
    </xdr:to>
    <xdr:pic>
      <xdr:nvPicPr>
        <xdr:cNvPr id="3" name="Imagen 2">
          <a:extLst>
            <a:ext uri="{FF2B5EF4-FFF2-40B4-BE49-F238E27FC236}">
              <a16:creationId xmlns:a16="http://schemas.microsoft.com/office/drawing/2014/main" id="{5E0EC821-737E-47CA-B683-A5A8BDBB07F3}"/>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47901" y="16817340"/>
          <a:ext cx="42001" cy="388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0DE7BD3E-FD79-430A-92FB-80E988ADB497}"/>
            </a:ext>
          </a:extLst>
        </xdr:cNvPr>
        <xdr:cNvGrpSpPr>
          <a:grpSpLocks/>
        </xdr:cNvGrpSpPr>
      </xdr:nvGrpSpPr>
      <xdr:grpSpPr bwMode="auto">
        <a:xfrm>
          <a:off x="0" y="0"/>
          <a:ext cx="5316510" cy="1277615"/>
          <a:chOff x="57150" y="47625"/>
          <a:chExt cx="6316603" cy="1200288"/>
        </a:xfrm>
      </xdr:grpSpPr>
      <xdr:pic>
        <xdr:nvPicPr>
          <xdr:cNvPr id="5" name="1 Imagen" descr="ESCUDO-transp-lema-blanco.png">
            <a:extLst>
              <a:ext uri="{FF2B5EF4-FFF2-40B4-BE49-F238E27FC236}">
                <a16:creationId xmlns:a16="http://schemas.microsoft.com/office/drawing/2014/main" id="{7E12B551-E900-0049-5C01-2057FCA8339E}"/>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771CB467-323E-C6D5-5D56-5C3A012C46D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762000</xdr:colOff>
      <xdr:row>90</xdr:row>
      <xdr:rowOff>106680</xdr:rowOff>
    </xdr:from>
    <xdr:to>
      <xdr:col>2</xdr:col>
      <xdr:colOff>1981306</xdr:colOff>
      <xdr:row>91</xdr:row>
      <xdr:rowOff>160040</xdr:rowOff>
    </xdr:to>
    <xdr:pic>
      <xdr:nvPicPr>
        <xdr:cNvPr id="2" name="Imagen 1">
          <a:extLst>
            <a:ext uri="{FF2B5EF4-FFF2-40B4-BE49-F238E27FC236}">
              <a16:creationId xmlns:a16="http://schemas.microsoft.com/office/drawing/2014/main" id="{1339F5FE-037B-4D2A-A04F-C4C238B4E70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86000" y="17251680"/>
          <a:ext cx="106" cy="24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693421</xdr:colOff>
      <xdr:row>96</xdr:row>
      <xdr:rowOff>419100</xdr:rowOff>
    </xdr:from>
    <xdr:to>
      <xdr:col>2</xdr:col>
      <xdr:colOff>1790796</xdr:colOff>
      <xdr:row>98</xdr:row>
      <xdr:rowOff>152432</xdr:rowOff>
    </xdr:to>
    <xdr:pic>
      <xdr:nvPicPr>
        <xdr:cNvPr id="3" name="Imagen 2">
          <a:extLst>
            <a:ext uri="{FF2B5EF4-FFF2-40B4-BE49-F238E27FC236}">
              <a16:creationId xmlns:a16="http://schemas.microsoft.com/office/drawing/2014/main" id="{38CED8C4-D3D0-42D3-B114-188C6A96D7F5}"/>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17421" y="18478500"/>
          <a:ext cx="68675" cy="342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2BA2D679-0431-460D-B3F3-20CE372E91C2}"/>
            </a:ext>
          </a:extLst>
        </xdr:cNvPr>
        <xdr:cNvGrpSpPr>
          <a:grpSpLocks/>
        </xdr:cNvGrpSpPr>
      </xdr:nvGrpSpPr>
      <xdr:grpSpPr bwMode="auto">
        <a:xfrm>
          <a:off x="0" y="0"/>
          <a:ext cx="5180439" cy="1277615"/>
          <a:chOff x="57150" y="47625"/>
          <a:chExt cx="6316603" cy="1200288"/>
        </a:xfrm>
      </xdr:grpSpPr>
      <xdr:pic>
        <xdr:nvPicPr>
          <xdr:cNvPr id="5" name="1 Imagen" descr="ESCUDO-transp-lema-blanco.png">
            <a:extLst>
              <a:ext uri="{FF2B5EF4-FFF2-40B4-BE49-F238E27FC236}">
                <a16:creationId xmlns:a16="http://schemas.microsoft.com/office/drawing/2014/main" id="{55649EEC-C0B9-E465-25FB-33725FCA99A7}"/>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4E5913AB-7999-5A19-A235-E77EDE407183}"/>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670561</xdr:colOff>
      <xdr:row>84</xdr:row>
      <xdr:rowOff>76200</xdr:rowOff>
    </xdr:from>
    <xdr:to>
      <xdr:col>2</xdr:col>
      <xdr:colOff>1790798</xdr:colOff>
      <xdr:row>85</xdr:row>
      <xdr:rowOff>129560</xdr:rowOff>
    </xdr:to>
    <xdr:pic>
      <xdr:nvPicPr>
        <xdr:cNvPr id="2" name="Imagen 1">
          <a:extLst>
            <a:ext uri="{FF2B5EF4-FFF2-40B4-BE49-F238E27FC236}">
              <a16:creationId xmlns:a16="http://schemas.microsoft.com/office/drawing/2014/main" id="{16BA996C-7CE8-4BF5-934A-EDCB7EEEACB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94561" y="16078200"/>
          <a:ext cx="91537" cy="24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685801</xdr:colOff>
      <xdr:row>92</xdr:row>
      <xdr:rowOff>0</xdr:rowOff>
    </xdr:from>
    <xdr:to>
      <xdr:col>2</xdr:col>
      <xdr:colOff>1684108</xdr:colOff>
      <xdr:row>94</xdr:row>
      <xdr:rowOff>7652</xdr:rowOff>
    </xdr:to>
    <xdr:pic>
      <xdr:nvPicPr>
        <xdr:cNvPr id="3" name="Imagen 2">
          <a:extLst>
            <a:ext uri="{FF2B5EF4-FFF2-40B4-BE49-F238E27FC236}">
              <a16:creationId xmlns:a16="http://schemas.microsoft.com/office/drawing/2014/main" id="{067E48FD-1F88-4130-AC98-6F7C9D7711B3}"/>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9801" y="17526000"/>
          <a:ext cx="74382" cy="388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7E7B7275-B1AB-451B-A990-4370D9154566}"/>
            </a:ext>
          </a:extLst>
        </xdr:cNvPr>
        <xdr:cNvGrpSpPr>
          <a:grpSpLocks/>
        </xdr:cNvGrpSpPr>
      </xdr:nvGrpSpPr>
      <xdr:grpSpPr bwMode="auto">
        <a:xfrm>
          <a:off x="0" y="0"/>
          <a:ext cx="5316510" cy="1277615"/>
          <a:chOff x="57150" y="47625"/>
          <a:chExt cx="6316603" cy="1200288"/>
        </a:xfrm>
      </xdr:grpSpPr>
      <xdr:pic>
        <xdr:nvPicPr>
          <xdr:cNvPr id="5" name="1 Imagen" descr="ESCUDO-transp-lema-blanco.png">
            <a:extLst>
              <a:ext uri="{FF2B5EF4-FFF2-40B4-BE49-F238E27FC236}">
                <a16:creationId xmlns:a16="http://schemas.microsoft.com/office/drawing/2014/main" id="{3C8D22D6-C27F-46FC-FB58-06D4B0FBE359}"/>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B588A294-0A44-1A6E-A2DD-9F6736A0452A}"/>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426720</xdr:colOff>
      <xdr:row>79</xdr:row>
      <xdr:rowOff>53340</xdr:rowOff>
    </xdr:from>
    <xdr:to>
      <xdr:col>2</xdr:col>
      <xdr:colOff>2156610</xdr:colOff>
      <xdr:row>80</xdr:row>
      <xdr:rowOff>175286</xdr:rowOff>
    </xdr:to>
    <xdr:pic>
      <xdr:nvPicPr>
        <xdr:cNvPr id="2" name="Imagen 1">
          <a:extLst>
            <a:ext uri="{FF2B5EF4-FFF2-40B4-BE49-F238E27FC236}">
              <a16:creationId xmlns:a16="http://schemas.microsoft.com/office/drawing/2014/main" id="{8F66816F-2453-464C-8189-73AB0154916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50720" y="15102840"/>
          <a:ext cx="339240" cy="312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716281</xdr:colOff>
      <xdr:row>88</xdr:row>
      <xdr:rowOff>0</xdr:rowOff>
    </xdr:from>
    <xdr:to>
      <xdr:col>2</xdr:col>
      <xdr:colOff>1813656</xdr:colOff>
      <xdr:row>90</xdr:row>
      <xdr:rowOff>7652</xdr:rowOff>
    </xdr:to>
    <xdr:pic>
      <xdr:nvPicPr>
        <xdr:cNvPr id="3" name="Imagen 2">
          <a:extLst>
            <a:ext uri="{FF2B5EF4-FFF2-40B4-BE49-F238E27FC236}">
              <a16:creationId xmlns:a16="http://schemas.microsoft.com/office/drawing/2014/main" id="{1D310797-9C9C-4A41-A2E7-A2F16E316ECD}"/>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40281" y="16764000"/>
          <a:ext cx="49625" cy="388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2D41638D-B63E-458C-B3C6-AFB04E435841}"/>
            </a:ext>
          </a:extLst>
        </xdr:cNvPr>
        <xdr:cNvGrpSpPr>
          <a:grpSpLocks/>
        </xdr:cNvGrpSpPr>
      </xdr:nvGrpSpPr>
      <xdr:grpSpPr bwMode="auto">
        <a:xfrm>
          <a:off x="0" y="0"/>
          <a:ext cx="5316510" cy="1277615"/>
          <a:chOff x="57150" y="47625"/>
          <a:chExt cx="6316603" cy="1200288"/>
        </a:xfrm>
      </xdr:grpSpPr>
      <xdr:pic>
        <xdr:nvPicPr>
          <xdr:cNvPr id="5" name="1 Imagen" descr="ESCUDO-transp-lema-blanco.png">
            <a:extLst>
              <a:ext uri="{FF2B5EF4-FFF2-40B4-BE49-F238E27FC236}">
                <a16:creationId xmlns:a16="http://schemas.microsoft.com/office/drawing/2014/main" id="{072B4934-D23A-6EED-5C8E-870A8D176D27}"/>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FF38B969-01DC-029E-B632-A78C84D5C346}"/>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518161</xdr:colOff>
      <xdr:row>87</xdr:row>
      <xdr:rowOff>449580</xdr:rowOff>
    </xdr:from>
    <xdr:to>
      <xdr:col>2</xdr:col>
      <xdr:colOff>2377602</xdr:colOff>
      <xdr:row>90</xdr:row>
      <xdr:rowOff>32</xdr:rowOff>
    </xdr:to>
    <xdr:pic>
      <xdr:nvPicPr>
        <xdr:cNvPr id="2" name="Imagen 1">
          <a:extLst>
            <a:ext uri="{FF2B5EF4-FFF2-40B4-BE49-F238E27FC236}">
              <a16:creationId xmlns:a16="http://schemas.microsoft.com/office/drawing/2014/main" id="{156194A5-6AC4-44B6-9B1D-E72407D8B80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42161" y="16765905"/>
          <a:ext cx="240191" cy="379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12D2F6D9-4800-4F36-8374-7380B5E516F6}"/>
            </a:ext>
          </a:extLst>
        </xdr:cNvPr>
        <xdr:cNvGrpSpPr>
          <a:grpSpLocks/>
        </xdr:cNvGrpSpPr>
      </xdr:nvGrpSpPr>
      <xdr:grpSpPr bwMode="auto">
        <a:xfrm>
          <a:off x="0" y="0"/>
          <a:ext cx="5510898" cy="1277615"/>
          <a:chOff x="57150" y="47625"/>
          <a:chExt cx="6316603" cy="1200288"/>
        </a:xfrm>
      </xdr:grpSpPr>
      <xdr:pic>
        <xdr:nvPicPr>
          <xdr:cNvPr id="4" name="1 Imagen" descr="ESCUDO-transp-lema-blanco.png">
            <a:extLst>
              <a:ext uri="{FF2B5EF4-FFF2-40B4-BE49-F238E27FC236}">
                <a16:creationId xmlns:a16="http://schemas.microsoft.com/office/drawing/2014/main" id="{FBF3387F-438F-1E25-730B-394128DD61E5}"/>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CFA67E9E-0D9E-28CD-854B-30AC13D494D7}"/>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556261</xdr:colOff>
      <xdr:row>63</xdr:row>
      <xdr:rowOff>0</xdr:rowOff>
    </xdr:from>
    <xdr:to>
      <xdr:col>2</xdr:col>
      <xdr:colOff>2088014</xdr:colOff>
      <xdr:row>64</xdr:row>
      <xdr:rowOff>83843</xdr:rowOff>
    </xdr:to>
    <xdr:pic>
      <xdr:nvPicPr>
        <xdr:cNvPr id="2" name="Imagen 1">
          <a:extLst>
            <a:ext uri="{FF2B5EF4-FFF2-40B4-BE49-F238E27FC236}">
              <a16:creationId xmlns:a16="http://schemas.microsoft.com/office/drawing/2014/main" id="{FE386A3F-E112-42C8-8B46-C617E3C56C7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80261" y="12001500"/>
          <a:ext cx="207778" cy="274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CC0E40A3-CD96-4931-8FC5-A08FF63A1163}"/>
            </a:ext>
          </a:extLst>
        </xdr:cNvPr>
        <xdr:cNvGrpSpPr>
          <a:grpSpLocks/>
        </xdr:cNvGrpSpPr>
      </xdr:nvGrpSpPr>
      <xdr:grpSpPr bwMode="auto">
        <a:xfrm>
          <a:off x="0" y="0"/>
          <a:ext cx="5316510" cy="1277615"/>
          <a:chOff x="57150" y="47625"/>
          <a:chExt cx="6316603" cy="1200288"/>
        </a:xfrm>
      </xdr:grpSpPr>
      <xdr:pic>
        <xdr:nvPicPr>
          <xdr:cNvPr id="4" name="1 Imagen" descr="ESCUDO-transp-lema-blanco.png">
            <a:extLst>
              <a:ext uri="{FF2B5EF4-FFF2-40B4-BE49-F238E27FC236}">
                <a16:creationId xmlns:a16="http://schemas.microsoft.com/office/drawing/2014/main" id="{6EECCC93-F25B-17C0-6892-2BFDFE868504}"/>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F2AB6855-FC75-8416-4E3A-90D4A31CBD7C}"/>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868681</xdr:colOff>
      <xdr:row>104</xdr:row>
      <xdr:rowOff>15240</xdr:rowOff>
    </xdr:from>
    <xdr:to>
      <xdr:col>2</xdr:col>
      <xdr:colOff>1806022</xdr:colOff>
      <xdr:row>105</xdr:row>
      <xdr:rowOff>129566</xdr:rowOff>
    </xdr:to>
    <xdr:pic>
      <xdr:nvPicPr>
        <xdr:cNvPr id="2" name="Imagen 1">
          <a:extLst>
            <a:ext uri="{FF2B5EF4-FFF2-40B4-BE49-F238E27FC236}">
              <a16:creationId xmlns:a16="http://schemas.microsoft.com/office/drawing/2014/main" id="{00BA7F7E-833C-4A38-8BF5-76AB35267AA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87906" y="19827240"/>
          <a:ext cx="0" cy="3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480060</xdr:colOff>
      <xdr:row>111</xdr:row>
      <xdr:rowOff>68580</xdr:rowOff>
    </xdr:from>
    <xdr:to>
      <xdr:col>3</xdr:col>
      <xdr:colOff>1021334</xdr:colOff>
      <xdr:row>113</xdr:row>
      <xdr:rowOff>26</xdr:rowOff>
    </xdr:to>
    <xdr:pic>
      <xdr:nvPicPr>
        <xdr:cNvPr id="3" name="Imagen 2">
          <a:extLst>
            <a:ext uri="{FF2B5EF4-FFF2-40B4-BE49-F238E27FC236}">
              <a16:creationId xmlns:a16="http://schemas.microsoft.com/office/drawing/2014/main" id="{71B94BFE-0C72-46CA-A9A1-2C418ADDCBB2}"/>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04060" y="21214080"/>
          <a:ext cx="1046099" cy="312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6C240600-F0E2-4E17-B65F-5750298038A2}"/>
            </a:ext>
          </a:extLst>
        </xdr:cNvPr>
        <xdr:cNvGrpSpPr>
          <a:grpSpLocks/>
        </xdr:cNvGrpSpPr>
      </xdr:nvGrpSpPr>
      <xdr:grpSpPr bwMode="auto">
        <a:xfrm>
          <a:off x="0" y="0"/>
          <a:ext cx="7095158" cy="1277615"/>
          <a:chOff x="57150" y="47625"/>
          <a:chExt cx="6316603" cy="1200288"/>
        </a:xfrm>
      </xdr:grpSpPr>
      <xdr:pic>
        <xdr:nvPicPr>
          <xdr:cNvPr id="5" name="1 Imagen" descr="ESCUDO-transp-lema-blanco.png">
            <a:extLst>
              <a:ext uri="{FF2B5EF4-FFF2-40B4-BE49-F238E27FC236}">
                <a16:creationId xmlns:a16="http://schemas.microsoft.com/office/drawing/2014/main" id="{FB470CFE-C640-B82C-5204-E10F7DFB209F}"/>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77009BC8-5DD9-D393-2AE8-523929263FD5}"/>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182880</xdr:colOff>
      <xdr:row>126</xdr:row>
      <xdr:rowOff>144780</xdr:rowOff>
    </xdr:from>
    <xdr:to>
      <xdr:col>3</xdr:col>
      <xdr:colOff>1112808</xdr:colOff>
      <xdr:row>126</xdr:row>
      <xdr:rowOff>281952</xdr:rowOff>
    </xdr:to>
    <xdr:pic>
      <xdr:nvPicPr>
        <xdr:cNvPr id="2" name="Imagen 1">
          <a:extLst>
            <a:ext uri="{FF2B5EF4-FFF2-40B4-BE49-F238E27FC236}">
              <a16:creationId xmlns:a16="http://schemas.microsoft.com/office/drawing/2014/main" id="{06080A05-27EB-4627-8DEB-131C87EDB7E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06880" y="24147780"/>
          <a:ext cx="1339503" cy="41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754380</xdr:colOff>
      <xdr:row>139</xdr:row>
      <xdr:rowOff>7620</xdr:rowOff>
    </xdr:from>
    <xdr:to>
      <xdr:col>3</xdr:col>
      <xdr:colOff>1089896</xdr:colOff>
      <xdr:row>139</xdr:row>
      <xdr:rowOff>251481</xdr:rowOff>
    </xdr:to>
    <xdr:pic>
      <xdr:nvPicPr>
        <xdr:cNvPr id="3" name="Imagen 2">
          <a:extLst>
            <a:ext uri="{FF2B5EF4-FFF2-40B4-BE49-F238E27FC236}">
              <a16:creationId xmlns:a16="http://schemas.microsoft.com/office/drawing/2014/main" id="{97D643C0-E117-4DA3-973C-5425188239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78380" y="26487120"/>
          <a:ext cx="773666" cy="186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8A0CECC1-501D-484B-991B-C2311531A83D}"/>
            </a:ext>
          </a:extLst>
        </xdr:cNvPr>
        <xdr:cNvGrpSpPr>
          <a:grpSpLocks/>
        </xdr:cNvGrpSpPr>
      </xdr:nvGrpSpPr>
      <xdr:grpSpPr bwMode="auto">
        <a:xfrm>
          <a:off x="0" y="0"/>
          <a:ext cx="6171817" cy="1277615"/>
          <a:chOff x="57150" y="47625"/>
          <a:chExt cx="6316603" cy="1200288"/>
        </a:xfrm>
      </xdr:grpSpPr>
      <xdr:pic>
        <xdr:nvPicPr>
          <xdr:cNvPr id="5" name="1 Imagen" descr="ESCUDO-transp-lema-blanco.png">
            <a:extLst>
              <a:ext uri="{FF2B5EF4-FFF2-40B4-BE49-F238E27FC236}">
                <a16:creationId xmlns:a16="http://schemas.microsoft.com/office/drawing/2014/main" id="{92DBC55D-2E36-A38D-4FB2-8DD2D20097C8}"/>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D402AF34-CCF9-3272-D18E-4F2E5F31340A}"/>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182880</xdr:colOff>
      <xdr:row>113</xdr:row>
      <xdr:rowOff>91440</xdr:rowOff>
    </xdr:from>
    <xdr:to>
      <xdr:col>3</xdr:col>
      <xdr:colOff>998498</xdr:colOff>
      <xdr:row>113</xdr:row>
      <xdr:rowOff>228612</xdr:rowOff>
    </xdr:to>
    <xdr:pic>
      <xdr:nvPicPr>
        <xdr:cNvPr id="2" name="Imagen 1">
          <a:extLst>
            <a:ext uri="{FF2B5EF4-FFF2-40B4-BE49-F238E27FC236}">
              <a16:creationId xmlns:a16="http://schemas.microsoft.com/office/drawing/2014/main" id="{FA502877-5E2F-4E48-8170-69F3C6F01DC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06880" y="21617940"/>
          <a:ext cx="1339493" cy="99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464821</xdr:colOff>
      <xdr:row>126</xdr:row>
      <xdr:rowOff>0</xdr:rowOff>
    </xdr:from>
    <xdr:to>
      <xdr:col>3</xdr:col>
      <xdr:colOff>922268</xdr:colOff>
      <xdr:row>127</xdr:row>
      <xdr:rowOff>114326</xdr:rowOff>
    </xdr:to>
    <xdr:pic>
      <xdr:nvPicPr>
        <xdr:cNvPr id="3" name="Imagen 2">
          <a:extLst>
            <a:ext uri="{FF2B5EF4-FFF2-40B4-BE49-F238E27FC236}">
              <a16:creationId xmlns:a16="http://schemas.microsoft.com/office/drawing/2014/main" id="{8F93FE68-6A91-4043-A651-E9FAE3AAFD95}"/>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88821" y="24003000"/>
          <a:ext cx="1057522" cy="3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899046C1-0EC6-48B9-903C-24E808B51A13}"/>
            </a:ext>
          </a:extLst>
        </xdr:cNvPr>
        <xdr:cNvGrpSpPr>
          <a:grpSpLocks/>
        </xdr:cNvGrpSpPr>
      </xdr:nvGrpSpPr>
      <xdr:grpSpPr bwMode="auto">
        <a:xfrm>
          <a:off x="0" y="0"/>
          <a:ext cx="5578934" cy="1277615"/>
          <a:chOff x="57150" y="47625"/>
          <a:chExt cx="6316603" cy="1200288"/>
        </a:xfrm>
      </xdr:grpSpPr>
      <xdr:pic>
        <xdr:nvPicPr>
          <xdr:cNvPr id="5" name="1 Imagen" descr="ESCUDO-transp-lema-blanco.png">
            <a:extLst>
              <a:ext uri="{FF2B5EF4-FFF2-40B4-BE49-F238E27FC236}">
                <a16:creationId xmlns:a16="http://schemas.microsoft.com/office/drawing/2014/main" id="{33AD2EF0-54DA-903C-1260-4B16212B35B9}"/>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2D5D6001-DA8A-088A-AF8F-45695595793D}"/>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784860</xdr:colOff>
      <xdr:row>107</xdr:row>
      <xdr:rowOff>53340</xdr:rowOff>
    </xdr:from>
    <xdr:to>
      <xdr:col>2</xdr:col>
      <xdr:colOff>1402080</xdr:colOff>
      <xdr:row>108</xdr:row>
      <xdr:rowOff>144780</xdr:rowOff>
    </xdr:to>
    <xdr:pic>
      <xdr:nvPicPr>
        <xdr:cNvPr id="2" name="Imagen 1">
          <a:extLst>
            <a:ext uri="{FF2B5EF4-FFF2-40B4-BE49-F238E27FC236}">
              <a16:creationId xmlns:a16="http://schemas.microsoft.com/office/drawing/2014/main" id="{C8C32A7D-B2DD-43BC-B032-0B3432CED8F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89810" y="20436840"/>
          <a:ext cx="0" cy="281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39A595F8-1956-4392-8E49-188E445F793F}"/>
            </a:ext>
          </a:extLst>
        </xdr:cNvPr>
        <xdr:cNvGrpSpPr>
          <a:grpSpLocks/>
        </xdr:cNvGrpSpPr>
      </xdr:nvGrpSpPr>
      <xdr:grpSpPr bwMode="auto">
        <a:xfrm>
          <a:off x="0" y="0"/>
          <a:ext cx="5316510" cy="1277615"/>
          <a:chOff x="57150" y="47625"/>
          <a:chExt cx="6316603" cy="1200288"/>
        </a:xfrm>
      </xdr:grpSpPr>
      <xdr:pic>
        <xdr:nvPicPr>
          <xdr:cNvPr id="4" name="1 Imagen" descr="ESCUDO-transp-lema-blanco.png">
            <a:extLst>
              <a:ext uri="{FF2B5EF4-FFF2-40B4-BE49-F238E27FC236}">
                <a16:creationId xmlns:a16="http://schemas.microsoft.com/office/drawing/2014/main" id="{6FFCE6FA-BC2F-DFAA-024F-A75D5BAA5377}"/>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720359E4-6890-1ECD-CFEF-E95E43286FF2}"/>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548640</xdr:colOff>
      <xdr:row>162</xdr:row>
      <xdr:rowOff>15240</xdr:rowOff>
    </xdr:from>
    <xdr:to>
      <xdr:col>2</xdr:col>
      <xdr:colOff>2232806</xdr:colOff>
      <xdr:row>164</xdr:row>
      <xdr:rowOff>22892</xdr:rowOff>
    </xdr:to>
    <xdr:pic>
      <xdr:nvPicPr>
        <xdr:cNvPr id="2" name="Imagen 1">
          <a:extLst>
            <a:ext uri="{FF2B5EF4-FFF2-40B4-BE49-F238E27FC236}">
              <a16:creationId xmlns:a16="http://schemas.microsoft.com/office/drawing/2014/main" id="{5E32392F-A216-4029-B010-DE69BF0BD3F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72640" y="30876240"/>
          <a:ext cx="217316" cy="388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723900</xdr:colOff>
      <xdr:row>169</xdr:row>
      <xdr:rowOff>53340</xdr:rowOff>
    </xdr:from>
    <xdr:to>
      <xdr:col>2</xdr:col>
      <xdr:colOff>2087998</xdr:colOff>
      <xdr:row>170</xdr:row>
      <xdr:rowOff>160045</xdr:rowOff>
    </xdr:to>
    <xdr:pic>
      <xdr:nvPicPr>
        <xdr:cNvPr id="3" name="Imagen 2">
          <a:extLst>
            <a:ext uri="{FF2B5EF4-FFF2-40B4-BE49-F238E27FC236}">
              <a16:creationId xmlns:a16="http://schemas.microsoft.com/office/drawing/2014/main" id="{6D3B0D6B-F091-4DF0-966C-BE6A1B90CD06}"/>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47900" y="32247840"/>
          <a:ext cx="40123" cy="297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5582013B-D9CC-4B68-B79E-8282A9946C08}"/>
            </a:ext>
          </a:extLst>
        </xdr:cNvPr>
        <xdr:cNvGrpSpPr>
          <a:grpSpLocks/>
        </xdr:cNvGrpSpPr>
      </xdr:nvGrpSpPr>
      <xdr:grpSpPr bwMode="auto">
        <a:xfrm>
          <a:off x="0" y="0"/>
          <a:ext cx="5316510" cy="1277615"/>
          <a:chOff x="57150" y="47625"/>
          <a:chExt cx="6316603" cy="1200288"/>
        </a:xfrm>
      </xdr:grpSpPr>
      <xdr:pic>
        <xdr:nvPicPr>
          <xdr:cNvPr id="5" name="1 Imagen" descr="ESCUDO-transp-lema-blanco.png">
            <a:extLst>
              <a:ext uri="{FF2B5EF4-FFF2-40B4-BE49-F238E27FC236}">
                <a16:creationId xmlns:a16="http://schemas.microsoft.com/office/drawing/2014/main" id="{5FD53338-DE2A-B3BB-8967-6ED1AEAA9F8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E521A7DD-DDA4-D8E6-FD69-83C2F52DADB4}"/>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533401</xdr:colOff>
      <xdr:row>60</xdr:row>
      <xdr:rowOff>106680</xdr:rowOff>
    </xdr:from>
    <xdr:to>
      <xdr:col>2</xdr:col>
      <xdr:colOff>2019430</xdr:colOff>
      <xdr:row>62</xdr:row>
      <xdr:rowOff>22884</xdr:rowOff>
    </xdr:to>
    <xdr:pic>
      <xdr:nvPicPr>
        <xdr:cNvPr id="2" name="Imagen 1">
          <a:extLst>
            <a:ext uri="{FF2B5EF4-FFF2-40B4-BE49-F238E27FC236}">
              <a16:creationId xmlns:a16="http://schemas.microsoft.com/office/drawing/2014/main" id="{D0F7A440-62D7-4D39-9BF7-BB42E5A029E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57401" y="11536680"/>
          <a:ext cx="228729" cy="297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63C3BEA8-E5F5-43DD-BABB-F63C6A236167}"/>
            </a:ext>
          </a:extLst>
        </xdr:cNvPr>
        <xdr:cNvGrpSpPr>
          <a:grpSpLocks/>
        </xdr:cNvGrpSpPr>
      </xdr:nvGrpSpPr>
      <xdr:grpSpPr bwMode="auto">
        <a:xfrm>
          <a:off x="0" y="0"/>
          <a:ext cx="5316510" cy="1277615"/>
          <a:chOff x="57150" y="47625"/>
          <a:chExt cx="6316603" cy="1200288"/>
        </a:xfrm>
      </xdr:grpSpPr>
      <xdr:pic>
        <xdr:nvPicPr>
          <xdr:cNvPr id="4" name="1 Imagen" descr="ESCUDO-transp-lema-blanco.png">
            <a:extLst>
              <a:ext uri="{FF2B5EF4-FFF2-40B4-BE49-F238E27FC236}">
                <a16:creationId xmlns:a16="http://schemas.microsoft.com/office/drawing/2014/main" id="{EAE60A66-90F8-8FDA-1700-04453636BE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A1ABB62C-B130-A7D5-B667-3C64FF4ECABD}"/>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609600</xdr:colOff>
      <xdr:row>80</xdr:row>
      <xdr:rowOff>91440</xdr:rowOff>
    </xdr:from>
    <xdr:to>
      <xdr:col>2</xdr:col>
      <xdr:colOff>2088008</xdr:colOff>
      <xdr:row>81</xdr:row>
      <xdr:rowOff>175283</xdr:rowOff>
    </xdr:to>
    <xdr:pic>
      <xdr:nvPicPr>
        <xdr:cNvPr id="2" name="Imagen 1">
          <a:extLst>
            <a:ext uri="{FF2B5EF4-FFF2-40B4-BE49-F238E27FC236}">
              <a16:creationId xmlns:a16="http://schemas.microsoft.com/office/drawing/2014/main" id="{7248ACE4-A725-485D-B0DF-8D22191BD29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33600" y="15331440"/>
          <a:ext cx="154433" cy="274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9496F672-9100-4766-83DC-74A8CB2CD601}"/>
            </a:ext>
          </a:extLst>
        </xdr:cNvPr>
        <xdr:cNvGrpSpPr>
          <a:grpSpLocks/>
        </xdr:cNvGrpSpPr>
      </xdr:nvGrpSpPr>
      <xdr:grpSpPr bwMode="auto">
        <a:xfrm>
          <a:off x="0" y="0"/>
          <a:ext cx="5316510" cy="1277615"/>
          <a:chOff x="57150" y="47625"/>
          <a:chExt cx="6316603" cy="1200288"/>
        </a:xfrm>
      </xdr:grpSpPr>
      <xdr:pic>
        <xdr:nvPicPr>
          <xdr:cNvPr id="4" name="1 Imagen" descr="ESCUDO-transp-lema-blanco.png">
            <a:extLst>
              <a:ext uri="{FF2B5EF4-FFF2-40B4-BE49-F238E27FC236}">
                <a16:creationId xmlns:a16="http://schemas.microsoft.com/office/drawing/2014/main" id="{4DBA44F2-AB21-2668-E83F-5476446A161B}"/>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8F676EF7-F3C2-672A-579E-2612E8FCDED9}"/>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137161</xdr:colOff>
      <xdr:row>121</xdr:row>
      <xdr:rowOff>7620</xdr:rowOff>
    </xdr:from>
    <xdr:to>
      <xdr:col>2</xdr:col>
      <xdr:colOff>2222936</xdr:colOff>
      <xdr:row>121</xdr:row>
      <xdr:rowOff>103640</xdr:rowOff>
    </xdr:to>
    <xdr:pic>
      <xdr:nvPicPr>
        <xdr:cNvPr id="2" name="Imagen 1">
          <a:extLst>
            <a:ext uri="{FF2B5EF4-FFF2-40B4-BE49-F238E27FC236}">
              <a16:creationId xmlns:a16="http://schemas.microsoft.com/office/drawing/2014/main" id="{A6C2EF92-09D3-4B4E-BB0C-741093DDF47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61161" y="23058120"/>
          <a:ext cx="628450" cy="9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D3F40556-CAFC-457A-B124-7CBE22EA8463}"/>
            </a:ext>
          </a:extLst>
        </xdr:cNvPr>
        <xdr:cNvGrpSpPr>
          <a:grpSpLocks/>
        </xdr:cNvGrpSpPr>
      </xdr:nvGrpSpPr>
      <xdr:grpSpPr bwMode="auto">
        <a:xfrm>
          <a:off x="0" y="0"/>
          <a:ext cx="5170720" cy="1277615"/>
          <a:chOff x="57150" y="47625"/>
          <a:chExt cx="6316603" cy="1200288"/>
        </a:xfrm>
      </xdr:grpSpPr>
      <xdr:pic>
        <xdr:nvPicPr>
          <xdr:cNvPr id="4" name="1 Imagen" descr="ESCUDO-transp-lema-blanco.png">
            <a:extLst>
              <a:ext uri="{FF2B5EF4-FFF2-40B4-BE49-F238E27FC236}">
                <a16:creationId xmlns:a16="http://schemas.microsoft.com/office/drawing/2014/main" id="{A8350169-601E-AAAC-CEAB-49D5E8E16255}"/>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2E8981BE-CF20-4F48-3CAC-A9BC31F071D1}"/>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0</xdr:colOff>
      <xdr:row>80</xdr:row>
      <xdr:rowOff>0</xdr:rowOff>
    </xdr:from>
    <xdr:to>
      <xdr:col>4</xdr:col>
      <xdr:colOff>83820</xdr:colOff>
      <xdr:row>82</xdr:row>
      <xdr:rowOff>7620</xdr:rowOff>
    </xdr:to>
    <xdr:pic>
      <xdr:nvPicPr>
        <xdr:cNvPr id="2" name="Imagen 1">
          <a:extLst>
            <a:ext uri="{FF2B5EF4-FFF2-40B4-BE49-F238E27FC236}">
              <a16:creationId xmlns:a16="http://schemas.microsoft.com/office/drawing/2014/main" id="{2F33532F-75FE-41F5-95CF-3D98399A899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15240000"/>
          <a:ext cx="1607820" cy="388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89</xdr:row>
      <xdr:rowOff>0</xdr:rowOff>
    </xdr:from>
    <xdr:to>
      <xdr:col>3</xdr:col>
      <xdr:colOff>434340</xdr:colOff>
      <xdr:row>90</xdr:row>
      <xdr:rowOff>106680</xdr:rowOff>
    </xdr:to>
    <xdr:pic>
      <xdr:nvPicPr>
        <xdr:cNvPr id="3" name="Imagen 2">
          <a:extLst>
            <a:ext uri="{FF2B5EF4-FFF2-40B4-BE49-F238E27FC236}">
              <a16:creationId xmlns:a16="http://schemas.microsoft.com/office/drawing/2014/main" id="{11E45329-FC98-498D-896C-4EE5F0EC4F27}"/>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00" y="16954500"/>
          <a:ext cx="1196340"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418683</xdr:colOff>
      <xdr:row>97</xdr:row>
      <xdr:rowOff>0</xdr:rowOff>
    </xdr:from>
    <xdr:to>
      <xdr:col>2</xdr:col>
      <xdr:colOff>1958056</xdr:colOff>
      <xdr:row>98</xdr:row>
      <xdr:rowOff>97745</xdr:rowOff>
    </xdr:to>
    <xdr:pic>
      <xdr:nvPicPr>
        <xdr:cNvPr id="4" name="Imagen 3">
          <a:extLst>
            <a:ext uri="{FF2B5EF4-FFF2-40B4-BE49-F238E27FC236}">
              <a16:creationId xmlns:a16="http://schemas.microsoft.com/office/drawing/2014/main" id="{EF767AED-3C18-45F3-9316-A5942AB11571}"/>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42683" y="18478500"/>
          <a:ext cx="339223" cy="288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5" name="1 Grupo">
          <a:extLst>
            <a:ext uri="{FF2B5EF4-FFF2-40B4-BE49-F238E27FC236}">
              <a16:creationId xmlns:a16="http://schemas.microsoft.com/office/drawing/2014/main" id="{E2BB5D09-BA45-4AE7-81A8-3DD33CA051DE}"/>
            </a:ext>
          </a:extLst>
        </xdr:cNvPr>
        <xdr:cNvGrpSpPr>
          <a:grpSpLocks/>
        </xdr:cNvGrpSpPr>
      </xdr:nvGrpSpPr>
      <xdr:grpSpPr bwMode="auto">
        <a:xfrm>
          <a:off x="0" y="0"/>
          <a:ext cx="5326230" cy="1277615"/>
          <a:chOff x="57150" y="47625"/>
          <a:chExt cx="6316603" cy="1200288"/>
        </a:xfrm>
      </xdr:grpSpPr>
      <xdr:pic>
        <xdr:nvPicPr>
          <xdr:cNvPr id="6" name="1 Imagen" descr="ESCUDO-transp-lema-blanco.png">
            <a:extLst>
              <a:ext uri="{FF2B5EF4-FFF2-40B4-BE49-F238E27FC236}">
                <a16:creationId xmlns:a16="http://schemas.microsoft.com/office/drawing/2014/main" id="{BF70FBF7-4124-DA27-29E6-4CA22626420F}"/>
              </a:ext>
            </a:extLst>
          </xdr:cNvPr>
          <xdr:cNvPicPr>
            <a:picLocks noChangeAspect="1"/>
          </xdr:cNvPicPr>
        </xdr:nvPicPr>
        <xdr:blipFill>
          <a:blip xmlns:r="http://schemas.openxmlformats.org/officeDocument/2006/relationships" r:embed="rId4"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7" name="3 CuadroTexto">
            <a:extLst>
              <a:ext uri="{FF2B5EF4-FFF2-40B4-BE49-F238E27FC236}">
                <a16:creationId xmlns:a16="http://schemas.microsoft.com/office/drawing/2014/main" id="{38C13958-B30F-7BC1-CF6C-D00341589171}"/>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160021</xdr:colOff>
      <xdr:row>91</xdr:row>
      <xdr:rowOff>45720</xdr:rowOff>
    </xdr:from>
    <xdr:to>
      <xdr:col>2</xdr:col>
      <xdr:colOff>2021748</xdr:colOff>
      <xdr:row>91</xdr:row>
      <xdr:rowOff>141740</xdr:rowOff>
    </xdr:to>
    <xdr:pic>
      <xdr:nvPicPr>
        <xdr:cNvPr id="2" name="Imagen 1">
          <a:extLst>
            <a:ext uri="{FF2B5EF4-FFF2-40B4-BE49-F238E27FC236}">
              <a16:creationId xmlns:a16="http://schemas.microsoft.com/office/drawing/2014/main" id="{671345F5-5369-4669-86AB-F95B4777275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84021" y="17381220"/>
          <a:ext cx="604427" cy="9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563880</xdr:colOff>
      <xdr:row>104</xdr:row>
      <xdr:rowOff>60960</xdr:rowOff>
    </xdr:from>
    <xdr:to>
      <xdr:col>3</xdr:col>
      <xdr:colOff>777466</xdr:colOff>
      <xdr:row>105</xdr:row>
      <xdr:rowOff>175286</xdr:rowOff>
    </xdr:to>
    <xdr:pic>
      <xdr:nvPicPr>
        <xdr:cNvPr id="3" name="Imagen 2">
          <a:extLst>
            <a:ext uri="{FF2B5EF4-FFF2-40B4-BE49-F238E27FC236}">
              <a16:creationId xmlns:a16="http://schemas.microsoft.com/office/drawing/2014/main" id="{EB2FCBC6-69A3-49D3-A493-B307F17C46D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87880" y="19872960"/>
          <a:ext cx="956536" cy="3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81D48867-E66B-4FF3-BD37-348794856AAA}"/>
            </a:ext>
          </a:extLst>
        </xdr:cNvPr>
        <xdr:cNvGrpSpPr>
          <a:grpSpLocks/>
        </xdr:cNvGrpSpPr>
      </xdr:nvGrpSpPr>
      <xdr:grpSpPr bwMode="auto">
        <a:xfrm>
          <a:off x="0" y="0"/>
          <a:ext cx="5199878" cy="1277615"/>
          <a:chOff x="57150" y="47625"/>
          <a:chExt cx="6316603" cy="1200288"/>
        </a:xfrm>
      </xdr:grpSpPr>
      <xdr:pic>
        <xdr:nvPicPr>
          <xdr:cNvPr id="5" name="1 Imagen" descr="ESCUDO-transp-lema-blanco.png">
            <a:extLst>
              <a:ext uri="{FF2B5EF4-FFF2-40B4-BE49-F238E27FC236}">
                <a16:creationId xmlns:a16="http://schemas.microsoft.com/office/drawing/2014/main" id="{534A7F95-8204-6687-8FB9-3DEED53B8189}"/>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C94B1E3C-0F8A-CFD1-F8A0-1B26D71B3AC2}"/>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PLA04\Archivos%20Planeacion%20(OK)\2020\Informe%20de%20Gestion%20con%20corte%2031-Diciembre-2020\6.%20Formatos%20SINA%20-%20PAI%202020-2023%20seguimiento%20PAC%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icminambiente-my.sharepoint.com/Carlos%20A/Documents/PC%20CARLOS/CORPAMAG/SEGUIMIENTO%20METAS%20PAI%202020-2023/INFORMES%20SEGUIMIENTO%202020%20PAI/SOPORTES%20INFORMES%20SS%202020/MATRIZ%20DE%20SEGUIMIENTO%20II%20SEM%202020%20neyl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icminambiente-my.sharepoint.com/archivos/Documentos/MADS/2022/INFORMES%20DE%20GESTI&#211;N%202021/5_CORPAMAG/Ajustes%20Gestion_10052022/MATRIZ%20DE%20SEGUIMIENTO%20II%20SEM%202021%20CORPAMAG-MADS%20CARdinal%200405202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archivos\Documentos\MADS\FORMATOS\INFORMES%20DE%20GESTI&#211;N%202021\Formatos%20SINA%20-%20PAI_Vs%202023.xlsx" TargetMode="External"/><Relationship Id="rId1" Type="http://schemas.openxmlformats.org/officeDocument/2006/relationships/externalLinkPath" Target="file:///D:\archivos\Documentos\MADS\FORMATOS\INFORMES%20DE%20GESTI&#211;N%202021\Formatos%20SINA%20-%20PAI_Vs%202023.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josep\AppData\Local\Microsoft\Windows\INetCache\Content.Outlook\CAMH6W2S\ANEXO%2016_%20INDICADORES%20MINIMOS%20DE%20GESTION_CONSOLIDADO.xlsx" TargetMode="External"/><Relationship Id="rId1" Type="http://schemas.openxmlformats.org/officeDocument/2006/relationships/externalLinkPath" Target="/Users/josep/AppData/Local/Microsoft/Windows/INetCache/Content.Outlook/CAMH6W2S/ANEXO%2016_%20INDICADORES%20MINIMOS%20DE%20GESTION_CONSOLIDAD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rchivos\Documentos\MADS\FORMATOS\INFORMES%20DE%20GESTI&#211;N%202021\Formatos%20SINA%20-%20PAI%202021%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icminambiente-my.sharepoint.com/archivos/Documentos/MADS/2023/INFORMES%202022/2_CORPAMAG/TERCER%20AJUSTE%20INFORME_29052023/MATRIZ%20DE%20SEGUIMIENTO%20II%20SEM%202022%20CORPAMAG%2029%20MAY%202023%20FINAL.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JuanCarlosJr\Desktop\EJECUCI&#211;N_DICIEMBRE_2024.xls" TargetMode="External"/><Relationship Id="rId1" Type="http://schemas.openxmlformats.org/officeDocument/2006/relationships/externalLinkPath" Target="/Users/JuanCarlosJr/Desktop/EJECUCI&#211;N_DICIEMBRE_2024.xls"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josep\OneDrive\Desktop\Nuevo%20acceso%20directo.xls" TargetMode="External"/><Relationship Id="rId1" Type="http://schemas.openxmlformats.org/officeDocument/2006/relationships/externalLinkPath" Target="/Users/josep/OneDrive/Desktop/Nuevo%20acceso%20directo.xls"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E:\Nueva%20carpeta\Nuevo%20acceso%20directo.lnk.xls" TargetMode="External"/><Relationship Id="rId1" Type="http://schemas.openxmlformats.org/officeDocument/2006/relationships/externalLinkPath" Target="file:///E:\Nueva%20carpeta\Nuevo%20acceso%20directo.ln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Anexo 1 Matriz Inf Gestión"/>
      <sheetName val="Hoja1"/>
      <sheetName val="Anexo 2 Protocolo Inf Gestión"/>
      <sheetName val="PROTOCOLO INGRESOS"/>
      <sheetName val="Informe Ingresos"/>
      <sheetName val="PROTOCOLO GASTOS"/>
      <sheetName val="informe Gasto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row r="5">
          <cell r="H5" t="str">
            <v>Corporación Autónoma Regional del Alto Magdalena - CAM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33">
          <cell r="D33" t="str">
            <v>SI APLICA</v>
          </cell>
        </row>
        <row r="34">
          <cell r="D34" t="str">
            <v>NO APLICA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Anexo 1 Matriz Inf Gestión"/>
      <sheetName val="Hoja1"/>
      <sheetName val="Anexo 2 Protocolo Inf Gestión"/>
      <sheetName val="Informe Ingresos"/>
      <sheetName val="PROTOCOLO INGRESOS"/>
      <sheetName val="informe Gastos"/>
      <sheetName val="PROTOCOLO GASTO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 val="Informe Ingresos."/>
    </sheetNames>
    <sheetDataSet>
      <sheetData sheetId="0"/>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Anexo 1 Matriz Inf Gestión"/>
      <sheetName val="Anexo 1 Matriz Inf Gestión CARd"/>
      <sheetName val="Anexo 2 Protocolo Inf Gestión"/>
      <sheetName val="Hoja1"/>
      <sheetName val="Informe Ingresos"/>
      <sheetName val="PROTOCOLO INGRESOS"/>
      <sheetName val="informe Gastos"/>
      <sheetName val="PROTOCOLO GASTOS"/>
      <sheetName val="Anexo 5.2A"/>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Generales"/>
      <sheetName val="Anexo 1 Matriz Inf Gestión 2022"/>
      <sheetName val="Hoja1"/>
      <sheetName val="Anexo 2 Protocolo Inf Gestión"/>
      <sheetName val="PROTOCOLO INGRESOS"/>
      <sheetName val="PROTOCOLO GASTOS"/>
      <sheetName val="Anexo 5.1 Ingresos"/>
      <sheetName val="Anexo 5.2. Gastos"/>
      <sheetName val="Anexo 5.2-A. Gastos"/>
      <sheetName val="Datos Generale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 val="Hoja2"/>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 val="Informe Ingresos"/>
      <sheetName val="PROTOCOLO INGRESOS"/>
      <sheetName val="Datos Generales"/>
      <sheetName val="Observa"/>
      <sheetName val="Formulas"/>
    </sheetNames>
    <sheetDataSet>
      <sheetData sheetId="0"/>
      <sheetData sheetId="1"/>
      <sheetData sheetId="2"/>
      <sheetData sheetId="3">
        <row r="5">
          <cell r="C5" t="str">
            <v>Corporación Autónoma Regional del Cesar – CORPOCESAR</v>
          </cell>
        </row>
        <row r="6">
          <cell r="C6" t="str">
            <v>2024-I</v>
          </cell>
        </row>
      </sheetData>
      <sheetData sheetId="4"/>
      <sheetData sheetId="5">
        <row r="5">
          <cell r="D5">
            <v>1</v>
          </cell>
          <cell r="E5" t="str">
            <v>N.A.</v>
          </cell>
          <cell r="F5" t="str">
            <v>N.A.</v>
          </cell>
          <cell r="G5" t="str">
            <v>N.A.</v>
          </cell>
          <cell r="H5" t="str">
            <v>N.A.</v>
          </cell>
        </row>
        <row r="15">
          <cell r="D15">
            <v>0</v>
          </cell>
          <cell r="E15">
            <v>0</v>
          </cell>
          <cell r="F15">
            <v>0</v>
          </cell>
          <cell r="G15">
            <v>0</v>
          </cell>
          <cell r="I15">
            <v>0</v>
          </cell>
        </row>
        <row r="20">
          <cell r="D20" t="str">
            <v>ERROR: LA SUMA DE LA COLUMNA DEBE SER 100%</v>
          </cell>
          <cell r="E20">
            <v>0</v>
          </cell>
        </row>
        <row r="22">
          <cell r="D22" t="str">
            <v>ERROR: LA SUMA DE LA COLUMNA DEBE SER 100%</v>
          </cell>
        </row>
        <row r="23">
          <cell r="D23" t="str">
            <v>ERROR: LA SUMA DE LA COLUMNA DEBE SER 100%</v>
          </cell>
          <cell r="E23">
            <v>0</v>
          </cell>
        </row>
        <row r="24">
          <cell r="D24" t="str">
            <v>ERROR: LA SUMA DE LA COLUMNA DEBE SER 100%</v>
          </cell>
          <cell r="F24" t="e">
            <v>#DIV/0!</v>
          </cell>
        </row>
        <row r="26">
          <cell r="D26">
            <v>0.99999999999999989</v>
          </cell>
        </row>
        <row r="29">
          <cell r="D29" t="str">
            <v/>
          </cell>
          <cell r="E29">
            <v>0.875</v>
          </cell>
        </row>
        <row r="31">
          <cell r="D31" t="str">
            <v>ERROR: LA SUMA DE LA COLUMNA DEBE SER 100%</v>
          </cell>
        </row>
        <row r="33">
          <cell r="D33" t="str">
            <v>SI APLICA</v>
          </cell>
          <cell r="F33" t="str">
            <v>SI SE REPORTA</v>
          </cell>
        </row>
        <row r="34">
          <cell r="D34" t="str">
            <v>NO APLICA</v>
          </cell>
          <cell r="F34" t="str">
            <v>NO SE REPORTA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Anexo 1 Matriz Inf Gestión"/>
      <sheetName val="Hoja1"/>
      <sheetName val="Anexo 2 Protocolo Inf Gestión"/>
      <sheetName val="Informe Ingresos"/>
      <sheetName val="PROTOCOLO INGRESOS"/>
      <sheetName val="INGRESOS"/>
      <sheetName val="Hoja3"/>
      <sheetName val="informe Gastos"/>
      <sheetName val="Hoja2"/>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33">
          <cell r="D33" t="str">
            <v>SI APLICA</v>
          </cell>
          <cell r="F33" t="str">
            <v>SI SE REPORTA</v>
          </cell>
        </row>
        <row r="34">
          <cell r="D34" t="str">
            <v>NO APLICA</v>
          </cell>
          <cell r="F34" t="str">
            <v>NO SE REPORTA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Anexo 1 Matriz Inf Gestión CARd"/>
      <sheetName val="Anexo 2 Protocolo Inf Gestión"/>
      <sheetName val="Anexo 5.1 INGRESOS"/>
      <sheetName val="Anexo 5.2. informe Gastos"/>
      <sheetName val="Anexo 5.2A_REV"/>
      <sheetName val="Hoja1"/>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E_PCT"/>
    </sheetNames>
    <sheetDataSet>
      <sheetData sheetId="0">
        <row r="75">
          <cell r="F75">
            <v>6275990</v>
          </cell>
          <cell r="H75">
            <v>6275990</v>
          </cell>
          <cell r="I75">
            <v>6275990</v>
          </cell>
          <cell r="J75">
            <v>6275990</v>
          </cell>
        </row>
        <row r="76">
          <cell r="F76">
            <v>5000000</v>
          </cell>
          <cell r="H76">
            <v>5000000</v>
          </cell>
          <cell r="I76">
            <v>5000000</v>
          </cell>
          <cell r="J76">
            <v>5000000</v>
          </cell>
        </row>
        <row r="77">
          <cell r="F77">
            <v>10000000</v>
          </cell>
          <cell r="H77">
            <v>10000000</v>
          </cell>
          <cell r="I77">
            <v>10000000</v>
          </cell>
          <cell r="J77">
            <v>10000000</v>
          </cell>
        </row>
        <row r="78">
          <cell r="F78">
            <v>15000000</v>
          </cell>
          <cell r="H78">
            <v>15000000</v>
          </cell>
          <cell r="I78">
            <v>15000000</v>
          </cell>
          <cell r="J78">
            <v>15000000</v>
          </cell>
        </row>
        <row r="79">
          <cell r="F79">
            <v>20000000</v>
          </cell>
          <cell r="H79">
            <v>20000000</v>
          </cell>
          <cell r="I79">
            <v>20000000</v>
          </cell>
          <cell r="J79">
            <v>20000000</v>
          </cell>
        </row>
        <row r="80">
          <cell r="F80">
            <v>27483840</v>
          </cell>
          <cell r="H80">
            <v>27483840</v>
          </cell>
          <cell r="I80">
            <v>27483840</v>
          </cell>
          <cell r="J80">
            <v>25422552</v>
          </cell>
        </row>
        <row r="85">
          <cell r="F85">
            <v>9863513</v>
          </cell>
          <cell r="H85">
            <v>9863513</v>
          </cell>
          <cell r="I85">
            <v>9863513</v>
          </cell>
          <cell r="J85">
            <v>9863513</v>
          </cell>
        </row>
        <row r="86">
          <cell r="F86">
            <v>5000000</v>
          </cell>
          <cell r="H86">
            <v>5000000</v>
          </cell>
          <cell r="I86">
            <v>5000000</v>
          </cell>
          <cell r="J86">
            <v>5000000</v>
          </cell>
        </row>
        <row r="87">
          <cell r="F87">
            <v>10000000</v>
          </cell>
          <cell r="H87">
            <v>10000000</v>
          </cell>
          <cell r="I87">
            <v>10000000</v>
          </cell>
          <cell r="J87">
            <v>10000000</v>
          </cell>
        </row>
        <row r="88">
          <cell r="F88">
            <v>15000000</v>
          </cell>
          <cell r="H88">
            <v>15000000</v>
          </cell>
          <cell r="I88">
            <v>15000000</v>
          </cell>
          <cell r="J88">
            <v>15000000</v>
          </cell>
        </row>
        <row r="89">
          <cell r="F89">
            <v>76182120</v>
          </cell>
          <cell r="H89">
            <v>76182120</v>
          </cell>
          <cell r="I89">
            <v>76182120</v>
          </cell>
          <cell r="J89">
            <v>76182120</v>
          </cell>
        </row>
        <row r="90">
          <cell r="F90">
            <v>64902600</v>
          </cell>
          <cell r="H90">
            <v>63502740</v>
          </cell>
          <cell r="I90">
            <v>63502740</v>
          </cell>
          <cell r="J90">
            <v>63502740</v>
          </cell>
        </row>
        <row r="95">
          <cell r="F95">
            <v>19545468</v>
          </cell>
          <cell r="H95">
            <v>19439748</v>
          </cell>
          <cell r="I95">
            <v>19439748</v>
          </cell>
          <cell r="J95">
            <v>19439748</v>
          </cell>
        </row>
        <row r="96">
          <cell r="F96">
            <v>20000000</v>
          </cell>
          <cell r="H96">
            <v>20000000</v>
          </cell>
          <cell r="I96">
            <v>20000000</v>
          </cell>
          <cell r="J96">
            <v>20000000</v>
          </cell>
        </row>
        <row r="97">
          <cell r="F97">
            <v>31261640</v>
          </cell>
          <cell r="H97">
            <v>31261640</v>
          </cell>
          <cell r="I97">
            <v>31261640</v>
          </cell>
          <cell r="J97">
            <v>31261640</v>
          </cell>
        </row>
        <row r="98">
          <cell r="F98">
            <v>56844040</v>
          </cell>
          <cell r="H98">
            <v>56844040</v>
          </cell>
          <cell r="I98">
            <v>56844040</v>
          </cell>
          <cell r="J98">
            <v>56844040</v>
          </cell>
        </row>
        <row r="99">
          <cell r="F99">
            <v>257424285</v>
          </cell>
          <cell r="H99">
            <v>257424285</v>
          </cell>
          <cell r="I99">
            <v>257424285</v>
          </cell>
          <cell r="J99">
            <v>257424285</v>
          </cell>
        </row>
        <row r="100">
          <cell r="F100">
            <v>104813000</v>
          </cell>
          <cell r="H100">
            <v>104813000</v>
          </cell>
          <cell r="I100">
            <v>104813000</v>
          </cell>
          <cell r="J100">
            <v>104813000</v>
          </cell>
        </row>
        <row r="105">
          <cell r="F105">
            <v>72006001</v>
          </cell>
          <cell r="H105">
            <v>71533696</v>
          </cell>
          <cell r="I105">
            <v>71533696</v>
          </cell>
          <cell r="J105">
            <v>71533696</v>
          </cell>
        </row>
        <row r="106">
          <cell r="F106">
            <v>94897200</v>
          </cell>
          <cell r="H106">
            <v>94897200</v>
          </cell>
          <cell r="I106">
            <v>94897200</v>
          </cell>
          <cell r="J106">
            <v>94897200</v>
          </cell>
        </row>
        <row r="107">
          <cell r="F107">
            <v>1076567054.1600001</v>
          </cell>
          <cell r="H107">
            <v>1076567054.1600001</v>
          </cell>
          <cell r="I107">
            <v>1071587352.35</v>
          </cell>
          <cell r="J107">
            <v>1071587352.35</v>
          </cell>
        </row>
        <row r="299">
          <cell r="F299">
            <v>10000000</v>
          </cell>
          <cell r="H299">
            <v>9799100</v>
          </cell>
          <cell r="I299">
            <v>9799100</v>
          </cell>
        </row>
        <row r="301">
          <cell r="F301">
            <v>126248895</v>
          </cell>
          <cell r="H301">
            <v>120000000</v>
          </cell>
          <cell r="I301">
            <v>120000000</v>
          </cell>
        </row>
        <row r="302">
          <cell r="F302">
            <v>290000000</v>
          </cell>
          <cell r="H302">
            <v>290000000</v>
          </cell>
          <cell r="I302">
            <v>15000000</v>
          </cell>
          <cell r="J302">
            <v>0</v>
          </cell>
        </row>
        <row r="326">
          <cell r="F326">
            <v>20000000</v>
          </cell>
          <cell r="H326">
            <v>19665419</v>
          </cell>
          <cell r="J326">
            <v>19665419</v>
          </cell>
        </row>
        <row r="328">
          <cell r="F328">
            <v>80000000</v>
          </cell>
          <cell r="H328">
            <v>77366666</v>
          </cell>
          <cell r="J328">
            <v>77366666</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MesPptoCDP.rpt"/>
    </sheetNames>
    <sheetDataSet>
      <sheetData sheetId="0">
        <row r="258">
          <cell r="F258">
            <v>9881201</v>
          </cell>
        </row>
        <row r="259">
          <cell r="F259">
            <v>10000000</v>
          </cell>
        </row>
        <row r="260">
          <cell r="F260">
            <v>10000000</v>
          </cell>
        </row>
        <row r="261">
          <cell r="F261">
            <v>0</v>
          </cell>
        </row>
        <row r="262">
          <cell r="F262">
            <v>67483840</v>
          </cell>
        </row>
        <row r="263">
          <cell r="F263">
            <v>58026240</v>
          </cell>
        </row>
        <row r="268">
          <cell r="F268">
            <v>4582195</v>
          </cell>
        </row>
        <row r="269">
          <cell r="F269">
            <v>10000000</v>
          </cell>
        </row>
        <row r="270">
          <cell r="F270">
            <v>80000000</v>
          </cell>
        </row>
        <row r="517">
          <cell r="Q517">
            <v>0</v>
          </cell>
          <cell r="R517">
            <v>0</v>
          </cell>
          <cell r="S517">
            <v>0</v>
          </cell>
        </row>
        <row r="518">
          <cell r="F518">
            <v>8000000</v>
          </cell>
        </row>
        <row r="519">
          <cell r="F519">
            <v>8241510</v>
          </cell>
        </row>
        <row r="520">
          <cell r="F520">
            <v>20000000</v>
          </cell>
        </row>
        <row r="521">
          <cell r="F521">
            <v>60731033.299999997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MesPptoCDP.rpt"/>
    </sheetNames>
    <sheetDataSet>
      <sheetData sheetId="0" refreshError="1">
        <row r="526">
          <cell r="P526">
            <v>1833358688.1600001</v>
          </cell>
        </row>
        <row r="534">
          <cell r="P534">
            <v>270575796</v>
          </cell>
        </row>
        <row r="535">
          <cell r="P535">
            <v>228575796</v>
          </cell>
          <cell r="Q535">
            <v>226971401</v>
          </cell>
          <cell r="R535">
            <v>226971401</v>
          </cell>
          <cell r="S535">
            <v>225861463</v>
          </cell>
        </row>
        <row r="536">
          <cell r="P536">
            <v>40000000</v>
          </cell>
          <cell r="Q536">
            <v>36385265</v>
          </cell>
          <cell r="R536">
            <v>36385265</v>
          </cell>
          <cell r="S536">
            <v>36385265</v>
          </cell>
        </row>
        <row r="537">
          <cell r="P537">
            <v>2000000</v>
          </cell>
          <cell r="Q537">
            <v>0</v>
          </cell>
          <cell r="R537">
            <v>0</v>
          </cell>
          <cell r="S537">
            <v>0</v>
          </cell>
        </row>
        <row r="544">
          <cell r="P544">
            <v>216359936</v>
          </cell>
        </row>
        <row r="553">
          <cell r="P553">
            <v>1773441258.1299999</v>
          </cell>
        </row>
        <row r="576">
          <cell r="P576">
            <v>250000000</v>
          </cell>
          <cell r="Q576">
            <v>249193180</v>
          </cell>
          <cell r="R576">
            <v>249193180</v>
          </cell>
          <cell r="S576">
            <v>249193180</v>
          </cell>
        </row>
        <row r="577">
          <cell r="P577">
            <v>180000000</v>
          </cell>
          <cell r="Q577">
            <v>180000000</v>
          </cell>
          <cell r="R577">
            <v>180000000</v>
          </cell>
          <cell r="S577">
            <v>177948611</v>
          </cell>
        </row>
        <row r="586">
          <cell r="P586">
            <v>822307786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mailto:planeacion@corpocesar.gov.c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mailto:gestionambiental@corpocesar.gov.co"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gestionambiental@corpocesar.gov.co"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gestionambiental@corpocesar.gov.co" TargetMode="External"/><Relationship Id="rId1" Type="http://schemas.openxmlformats.org/officeDocument/2006/relationships/hyperlink" Target="http://cambioclimatico.minambiente.gov.co/" TargetMode="External"/><Relationship Id="rId4"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mailto:gestionambiental@corpocesar.gov.co"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mailto:gestionambiental@corpocesar.gov.co"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hyperlink" Target="mailto:gestionambiental@corpocesar.gov.co"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mailto:gestionambiental@corpocesar.gov.co"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mailto:gestionambiental@corpocesar.gov.co"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mailto:gestionambiental@corpocesar.gov.co"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1.bin"/><Relationship Id="rId1" Type="http://schemas.openxmlformats.org/officeDocument/2006/relationships/hyperlink" Target="mailto:gestionambiental@corpocesar.gov.co"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2.bin"/><Relationship Id="rId1" Type="http://schemas.openxmlformats.org/officeDocument/2006/relationships/hyperlink" Target="mailto:gestionambiental@corpocesar.gov.co"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3.bin"/><Relationship Id="rId1" Type="http://schemas.openxmlformats.org/officeDocument/2006/relationships/hyperlink" Target="mailto:gestionambiental@corpocesar.gov.co"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4.bin"/><Relationship Id="rId1" Type="http://schemas.openxmlformats.org/officeDocument/2006/relationships/hyperlink" Target="mailto:gestionambiental@corpocesar.gov.co"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5.bin"/><Relationship Id="rId1" Type="http://schemas.openxmlformats.org/officeDocument/2006/relationships/hyperlink" Target="mailto:gestionambiental@corpocesar.gov.co"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6.bin"/><Relationship Id="rId1" Type="http://schemas.openxmlformats.org/officeDocument/2006/relationships/hyperlink" Target="mailto:gestionambiental@corpocesar.gov.co"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mailto:gestionambiental@corpocesar.gov.co" TargetMode="External"/><Relationship Id="rId1" Type="http://schemas.openxmlformats.org/officeDocument/2006/relationships/hyperlink" Target="https://www.minambiente.gov.co/index.php/ambientes-y-desarrollos-sostenibles/negocios-verdes-y-sostenibles" TargetMode="External"/><Relationship Id="rId4"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8.bin"/><Relationship Id="rId1" Type="http://schemas.openxmlformats.org/officeDocument/2006/relationships/hyperlink" Target="mailto:gestionambiental@corpocesar.gov.co"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9.bin"/><Relationship Id="rId1" Type="http://schemas.openxmlformats.org/officeDocument/2006/relationships/hyperlink" Target="mailto:gestionambiental@corpocesar.gov.co"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0.bin"/><Relationship Id="rId1" Type="http://schemas.openxmlformats.org/officeDocument/2006/relationships/hyperlink" Target="mailto:gestionambiental@corpocesar.gov.co"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1.bin"/><Relationship Id="rId1" Type="http://schemas.openxmlformats.org/officeDocument/2006/relationships/hyperlink" Target="mailto:gestionambiental@corpocesar.gov.co"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mailto:gestionambiental@corpocesar.gov.co" TargetMode="External"/><Relationship Id="rId2" Type="http://schemas.openxmlformats.org/officeDocument/2006/relationships/hyperlink" Target="http://www.sirh.ideam.gov.co/" TargetMode="External"/><Relationship Id="rId1" Type="http://schemas.openxmlformats.org/officeDocument/2006/relationships/hyperlink" Target="http://www.sisaire.gov.co/" TargetMode="External"/><Relationship Id="rId5" Type="http://schemas.openxmlformats.org/officeDocument/2006/relationships/drawing" Target="../drawings/drawing31.xml"/><Relationship Id="rId4"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hyperlink" Target="mailto:gestionambiental@corpocesar.gov.co" TargetMode="External"/><Relationship Id="rId2" Type="http://schemas.openxmlformats.org/officeDocument/2006/relationships/hyperlink" Target="http://www.sirh.ideam.gov.co/" TargetMode="External"/><Relationship Id="rId1" Type="http://schemas.openxmlformats.org/officeDocument/2006/relationships/hyperlink" Target="http://www.sisaire.gov.co/" TargetMode="External"/><Relationship Id="rId5" Type="http://schemas.openxmlformats.org/officeDocument/2006/relationships/drawing" Target="../drawings/drawing32.xml"/><Relationship Id="rId4"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4.bin"/><Relationship Id="rId1" Type="http://schemas.openxmlformats.org/officeDocument/2006/relationships/hyperlink" Target="mailto:gestionambiental@corpocesar.gov.co"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B28"/>
  <sheetViews>
    <sheetView topLeftCell="A3" workbookViewId="0">
      <selection sqref="A1:XFD1048576"/>
    </sheetView>
  </sheetViews>
  <sheetFormatPr baseColWidth="10" defaultColWidth="11.42578125" defaultRowHeight="12.75" x14ac:dyDescent="0.2"/>
  <cols>
    <col min="1" max="16384" width="11.42578125" style="472"/>
  </cols>
  <sheetData>
    <row r="1" spans="1:2" x14ac:dyDescent="0.2">
      <c r="A1" s="472" t="s">
        <v>0</v>
      </c>
      <c r="B1" s="473" t="s">
        <v>1</v>
      </c>
    </row>
    <row r="2" spans="1:2" x14ac:dyDescent="0.2">
      <c r="A2" s="472" t="s">
        <v>2</v>
      </c>
      <c r="B2" s="473" t="s">
        <v>3</v>
      </c>
    </row>
    <row r="3" spans="1:2" x14ac:dyDescent="0.2">
      <c r="A3" s="472" t="s">
        <v>4</v>
      </c>
      <c r="B3" s="473" t="s">
        <v>5</v>
      </c>
    </row>
    <row r="4" spans="1:2" x14ac:dyDescent="0.2">
      <c r="A4" s="472" t="s">
        <v>6</v>
      </c>
      <c r="B4" s="473" t="s">
        <v>7</v>
      </c>
    </row>
    <row r="5" spans="1:2" x14ac:dyDescent="0.2">
      <c r="A5" s="472" t="s">
        <v>8</v>
      </c>
      <c r="B5" s="473" t="s">
        <v>9</v>
      </c>
    </row>
    <row r="6" spans="1:2" x14ac:dyDescent="0.2">
      <c r="A6" s="472" t="s">
        <v>10</v>
      </c>
      <c r="B6" s="473" t="s">
        <v>11</v>
      </c>
    </row>
    <row r="7" spans="1:2" x14ac:dyDescent="0.2">
      <c r="A7" s="472" t="s">
        <v>12</v>
      </c>
      <c r="B7" s="473" t="s">
        <v>13</v>
      </c>
    </row>
    <row r="8" spans="1:2" x14ac:dyDescent="0.2">
      <c r="A8" s="472" t="s">
        <v>14</v>
      </c>
      <c r="B8" s="473" t="s">
        <v>15</v>
      </c>
    </row>
    <row r="9" spans="1:2" x14ac:dyDescent="0.2">
      <c r="A9" s="472" t="s">
        <v>16</v>
      </c>
      <c r="B9" s="473" t="s">
        <v>17</v>
      </c>
    </row>
    <row r="10" spans="1:2" x14ac:dyDescent="0.2">
      <c r="A10" s="472" t="s">
        <v>18</v>
      </c>
      <c r="B10" s="473" t="s">
        <v>19</v>
      </c>
    </row>
    <row r="11" spans="1:2" x14ac:dyDescent="0.2">
      <c r="B11" s="473" t="s">
        <v>20</v>
      </c>
    </row>
    <row r="12" spans="1:2" x14ac:dyDescent="0.2">
      <c r="B12" s="473" t="s">
        <v>21</v>
      </c>
    </row>
    <row r="13" spans="1:2" x14ac:dyDescent="0.2">
      <c r="B13" s="473" t="s">
        <v>22</v>
      </c>
    </row>
    <row r="14" spans="1:2" x14ac:dyDescent="0.2">
      <c r="B14" s="473" t="s">
        <v>23</v>
      </c>
    </row>
    <row r="15" spans="1:2" x14ac:dyDescent="0.2">
      <c r="B15" s="473" t="s">
        <v>24</v>
      </c>
    </row>
    <row r="16" spans="1:2" x14ac:dyDescent="0.2">
      <c r="B16" s="473" t="s">
        <v>25</v>
      </c>
    </row>
    <row r="17" spans="2:2" x14ac:dyDescent="0.2">
      <c r="B17" s="473" t="s">
        <v>26</v>
      </c>
    </row>
    <row r="18" spans="2:2" x14ac:dyDescent="0.2">
      <c r="B18" s="473" t="s">
        <v>27</v>
      </c>
    </row>
    <row r="19" spans="2:2" x14ac:dyDescent="0.2">
      <c r="B19" s="473" t="s">
        <v>28</v>
      </c>
    </row>
    <row r="20" spans="2:2" x14ac:dyDescent="0.2">
      <c r="B20" s="473" t="s">
        <v>29</v>
      </c>
    </row>
    <row r="21" spans="2:2" x14ac:dyDescent="0.2">
      <c r="B21" s="473" t="s">
        <v>30</v>
      </c>
    </row>
    <row r="22" spans="2:2" x14ac:dyDescent="0.2">
      <c r="B22" s="473" t="s">
        <v>31</v>
      </c>
    </row>
    <row r="23" spans="2:2" x14ac:dyDescent="0.2">
      <c r="B23" s="473" t="s">
        <v>32</v>
      </c>
    </row>
    <row r="24" spans="2:2" x14ac:dyDescent="0.2">
      <c r="B24" s="473" t="s">
        <v>33</v>
      </c>
    </row>
    <row r="25" spans="2:2" x14ac:dyDescent="0.2">
      <c r="B25" s="473" t="s">
        <v>34</v>
      </c>
    </row>
    <row r="26" spans="2:2" x14ac:dyDescent="0.2">
      <c r="B26" s="473" t="s">
        <v>35</v>
      </c>
    </row>
    <row r="27" spans="2:2" x14ac:dyDescent="0.2">
      <c r="B27" s="473" t="s">
        <v>36</v>
      </c>
    </row>
    <row r="28" spans="2:2" x14ac:dyDescent="0.2">
      <c r="B28" s="472" t="s">
        <v>18</v>
      </c>
    </row>
  </sheetData>
  <hyperlinks>
    <hyperlink ref="B1" location="'1POMCAS'!A1" display="Porcentaje de avance en la formulación y/o ajuste de los Planes de Ordenación y Manejo de Cuencas (POMCAS), Planes de Manejo de Acuíferos (PMA) y Planes de Manejo de Microcuencas (PMM)" xr:uid="{00000000-0004-0000-0200-000000000000}"/>
    <hyperlink ref="B2" location="'2PORH'!A1" display="Porcentaje de cuerpos de agua con planes de ordenamiento del recurso hídrico (PORH) adoptados" xr:uid="{00000000-0004-0000-0200-000001000000}"/>
    <hyperlink ref="B3" location="'3PSMV'!_Toc467769470" display="Porcentaje de Planes de Saneamiento y Manejo de Vertimientos (PSMV) con seguimiento" xr:uid="{00000000-0004-0000-0200-000002000000}"/>
    <hyperlink ref="B4" location="'4UsoAguas'!_Toc467769471" display="Porcentaje de cuerpos de agua con reglamentación del uso de las aguas" xr:uid="{00000000-0004-0000-0200-000003000000}"/>
    <hyperlink ref="B5" location="'5PUEAA'!_Toc467769472" display="Porcentaje de Programas de Uso Eficiente y Ahorro del Agua (PUEAA) con seguimiento" xr:uid="{00000000-0004-0000-0200-000004000000}"/>
    <hyperlink ref="B6" location="'6POMCASejec'!_Toc467769473" display="Porcentaje de Planes de Ordenación y Manejo de Cuencas (POMCAS), Planes de Manejo de Acuíferos (PMA) y Planes de Manejo de Microcuencas (PMM) en ejecución" xr:uid="{00000000-0004-0000-0200-000005000000}"/>
    <hyperlink ref="B7" location="'7Clima'!_Toc467769474" display="Porcentaje de entes territoriales asesorados en la incorporación, planificación y ejecución de acciones relacionadas con cambio climático en el marco de los instrumentos de planificación territorial" xr:uid="{00000000-0004-0000-0200-000006000000}"/>
    <hyperlink ref="B8" location="'8Suelo'!_Toc467769475" display="Porcentaje de suelos degradados en recuperación o rehabilitación" xr:uid="{00000000-0004-0000-0200-000007000000}"/>
    <hyperlink ref="B9" location="'9RUNAP'!_Toc467769476" display="Porcentaje de la superficie de áreas protegidas regionales declaradas, homologadas o recategorizadas, inscritas en el RUNAP" xr:uid="{00000000-0004-0000-0200-000008000000}"/>
    <hyperlink ref="B10" location="'10Paramos'!_Toc467769477" display="Porcentaje de páramos delimitados por el MADS, con zonificación y régimen de usos adoptados por la CAR" xr:uid="{00000000-0004-0000-0200-000009000000}"/>
    <hyperlink ref="B11" location="'11Forest'!_Toc467769478" display="Porcentaje de avance en la formulación del Plan de Ordenación Forestal" xr:uid="{00000000-0004-0000-0200-00000A000000}"/>
    <hyperlink ref="B12" location="'12PlanesAP'!_Toc467769479" display="Porcentaje de áreas protegidas con planes de manejo en ejecución" xr:uid="{00000000-0004-0000-0200-00000B000000}"/>
    <hyperlink ref="B13" location="'13Amenaz'!_Toc467769480" display="Porcentaje de especies amenazadas con medidas de conservación y manejo en ejecución" xr:uid="{00000000-0004-0000-0200-00000C000000}"/>
    <hyperlink ref="B14" location="'14Invasor'!_Toc467769481" display="Porcentaje de especies invasoras con medidas de prevención, control y manejo en ejecución" xr:uid="{00000000-0004-0000-0200-00000D000000}"/>
    <hyperlink ref="B15" location="'15Restaura'!_Toc467769482" display="Porcentaje de áreas de ecosistemas en restauración, rehabilitación y reforestación" xr:uid="{00000000-0004-0000-0200-00000E000000}"/>
    <hyperlink ref="B16" location="'16MIZC'!_Toc467769483" display="Implementación de acciones en manejo integrado de zonas costeras" xr:uid="{00000000-0004-0000-0200-00000F000000}"/>
    <hyperlink ref="B17" location="'17PGIRS'!_Toc467769484" display="Porcentaje de Planes de Gestión Integral de Residuos Sólidos (PGIRS) con seguimiento a metas de aprovechamiento" xr:uid="{00000000-0004-0000-0200-000010000000}"/>
    <hyperlink ref="B18" location="'18Sector'!_Toc467769485" display="Porcentaje de sectores con acompañamiento para la reconversión hacia sistemas sostenibles de producción" xr:uid="{00000000-0004-0000-0200-000011000000}"/>
    <hyperlink ref="B19" location="'19GAU'!_Toc467769486" display="Porcentaje de ejecución de acciones en Gestión Ambiental Urbana" xr:uid="{00000000-0004-0000-0200-000012000000}"/>
    <hyperlink ref="B20" location="'20Negoc'!_Toc467769487" display="Implementación del Programa Regional de Negocios Verdes por la autoridad ambiental" xr:uid="{00000000-0004-0000-0200-000013000000}"/>
    <hyperlink ref="B22" location="'22Autor'!_Toc467769489" display="Porcentaje de autorizaciones ambientales con seguimiento" xr:uid="{00000000-0004-0000-0200-000014000000}"/>
    <hyperlink ref="B23" location="'23Sanc'!_Toc467769490" display="Porcentaje de Procesos Sancionatorios Resueltos" xr:uid="{00000000-0004-0000-0200-000015000000}"/>
    <hyperlink ref="B24" location="'24POT'!_Toc467769491" display="Porcentaje de municipios asesorados o asistidos en la inclusión del componente ambiental en los procesos de planificación y ordenamiento territorial, con énfasis en la incorporación de las determinantes ambientales para la revisión y ajuste de los POT" xr:uid="{00000000-0004-0000-0200-000016000000}"/>
    <hyperlink ref="B25" location="'25Redes'!_Toc467769492" display="Porcentaje de redes y estaciones de monitoreo en operación" xr:uid="{00000000-0004-0000-0200-000017000000}"/>
    <hyperlink ref="B26" location="'26SIAC'!_Toc467769493" display="Porcentaje de actualización y reporte de la información en el SIAC" xr:uid="{00000000-0004-0000-0200-000018000000}"/>
    <hyperlink ref="B27" location="'27Educa'!_Toc467769494" display="Ejecución de Acciones en Educación Ambiental" xr:uid="{00000000-0004-0000-0200-000019000000}"/>
    <hyperlink ref="B21" location="'21TiempoT'!_Toc467769488" display="Tiempo promedio de trámite para la resolución de autorizaciones ambientales otorgadas por la corporación" xr:uid="{00000000-0004-0000-0200-00001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Y343"/>
  <sheetViews>
    <sheetView zoomScale="80" zoomScaleNormal="80" zoomScaleSheetLayoutView="100" workbookViewId="0">
      <pane ySplit="1440" topLeftCell="A85" activePane="bottomLeft"/>
      <selection activeCell="A6" sqref="A1:A1048576"/>
      <selection pane="bottomLeft" activeCell="J99" sqref="J99"/>
    </sheetView>
  </sheetViews>
  <sheetFormatPr baseColWidth="10" defaultColWidth="11.42578125" defaultRowHeight="36" customHeight="1" x14ac:dyDescent="0.25"/>
  <cols>
    <col min="1" max="1" width="10" customWidth="1"/>
    <col min="2" max="2" width="14.7109375" customWidth="1"/>
    <col min="3" max="3" width="14.140625" customWidth="1"/>
    <col min="4" max="4" width="16.140625" customWidth="1"/>
    <col min="10" max="10" width="122.42578125" bestFit="1" customWidth="1"/>
    <col min="11" max="14" width="17.28515625" customWidth="1"/>
    <col min="15" max="15" width="25.7109375" bestFit="1" customWidth="1"/>
    <col min="16" max="18" width="18.85546875" customWidth="1"/>
    <col min="19" max="19" width="19.28515625" customWidth="1"/>
    <col min="20" max="20" width="17.42578125" customWidth="1"/>
    <col min="21" max="21" width="14" customWidth="1"/>
    <col min="22" max="22" width="26.85546875" customWidth="1"/>
    <col min="23" max="23" width="19.42578125" hidden="1" customWidth="1"/>
    <col min="24" max="24" width="15.140625" hidden="1" customWidth="1"/>
    <col min="25" max="25" width="0" hidden="1" customWidth="1"/>
  </cols>
  <sheetData>
    <row r="1" spans="1:25" ht="109.5" customHeight="1" thickBot="1" x14ac:dyDescent="0.3">
      <c r="A1" s="837"/>
      <c r="B1" s="838"/>
      <c r="C1" s="838"/>
      <c r="D1" s="838"/>
      <c r="E1" s="838"/>
      <c r="F1" s="839"/>
      <c r="G1" s="839"/>
      <c r="H1" s="839"/>
      <c r="I1" s="838"/>
      <c r="J1" s="838"/>
      <c r="K1" s="838"/>
      <c r="L1" s="838"/>
      <c r="M1" s="838"/>
      <c r="N1" s="838"/>
      <c r="O1" s="838"/>
      <c r="P1" s="838"/>
      <c r="Q1" s="838"/>
      <c r="R1" s="838"/>
      <c r="S1" s="838"/>
      <c r="T1" s="838"/>
      <c r="U1" s="838"/>
      <c r="V1" s="840"/>
    </row>
    <row r="2" spans="1:25" ht="26.25" customHeight="1" x14ac:dyDescent="0.25">
      <c r="A2" s="841" t="s">
        <v>37</v>
      </c>
      <c r="B2" s="842"/>
      <c r="C2" s="842"/>
      <c r="D2" s="842"/>
      <c r="E2" s="842"/>
      <c r="F2" s="843"/>
      <c r="G2" s="843"/>
      <c r="H2" s="843"/>
      <c r="I2" s="842"/>
      <c r="J2" s="842"/>
      <c r="K2" s="842"/>
      <c r="L2" s="842"/>
      <c r="M2" s="842"/>
      <c r="N2" s="842"/>
      <c r="O2" s="842"/>
      <c r="P2" s="842"/>
      <c r="Q2" s="842"/>
      <c r="R2" s="842"/>
      <c r="S2" s="842"/>
      <c r="T2" s="842"/>
      <c r="U2" s="842"/>
      <c r="V2" s="844"/>
    </row>
    <row r="3" spans="1:25" ht="26.25" customHeight="1" x14ac:dyDescent="0.25">
      <c r="A3" s="845" t="s">
        <v>38</v>
      </c>
      <c r="B3" s="846"/>
      <c r="C3" s="846"/>
      <c r="D3" s="846"/>
      <c r="E3" s="846"/>
      <c r="F3" s="847"/>
      <c r="G3" s="847"/>
      <c r="H3" s="847"/>
      <c r="I3" s="846"/>
      <c r="J3" s="846"/>
      <c r="K3" s="846"/>
      <c r="L3" s="846"/>
      <c r="M3" s="846"/>
      <c r="N3" s="846"/>
      <c r="O3" s="846"/>
      <c r="P3" s="846"/>
      <c r="Q3" s="846"/>
      <c r="R3" s="846"/>
      <c r="S3" s="846"/>
      <c r="T3" s="846"/>
      <c r="U3" s="846"/>
      <c r="V3" s="848"/>
    </row>
    <row r="4" spans="1:25" ht="26.25" customHeight="1" thickBot="1" x14ac:dyDescent="0.3">
      <c r="A4" s="849" t="s">
        <v>39</v>
      </c>
      <c r="B4" s="850"/>
      <c r="C4" s="850"/>
      <c r="D4" s="850"/>
      <c r="E4" s="850"/>
      <c r="F4" s="851"/>
      <c r="G4" s="851"/>
      <c r="H4" s="851"/>
      <c r="I4" s="850"/>
      <c r="J4" s="850"/>
      <c r="K4" s="850"/>
      <c r="L4" s="850"/>
      <c r="M4" s="850"/>
      <c r="N4" s="850"/>
      <c r="O4" s="850"/>
      <c r="P4" s="850"/>
      <c r="Q4" s="850"/>
      <c r="R4" s="850"/>
      <c r="S4" s="850"/>
      <c r="T4" s="850"/>
      <c r="U4" s="850"/>
      <c r="V4" s="852"/>
    </row>
    <row r="5" spans="1:25" ht="36" customHeight="1" thickTop="1" thickBot="1" x14ac:dyDescent="0.3">
      <c r="A5" s="853" t="s">
        <v>40</v>
      </c>
      <c r="B5" s="854"/>
      <c r="C5" s="854"/>
      <c r="D5" s="854"/>
      <c r="E5" s="854"/>
      <c r="F5" s="854"/>
      <c r="G5" s="854"/>
      <c r="H5" s="854"/>
      <c r="I5" s="855"/>
      <c r="J5" s="833" t="s">
        <v>41</v>
      </c>
      <c r="K5" s="833" t="s">
        <v>42</v>
      </c>
      <c r="L5" s="856" t="s">
        <v>43</v>
      </c>
      <c r="M5" s="856"/>
      <c r="N5" s="833" t="s">
        <v>44</v>
      </c>
      <c r="O5" s="857" t="s">
        <v>45</v>
      </c>
      <c r="P5" s="858"/>
      <c r="Q5" s="858"/>
      <c r="R5" s="859"/>
      <c r="S5" s="860" t="s">
        <v>46</v>
      </c>
      <c r="T5" s="833" t="s">
        <v>47</v>
      </c>
      <c r="U5" s="832" t="s">
        <v>48</v>
      </c>
      <c r="V5" s="833" t="s">
        <v>49</v>
      </c>
      <c r="W5" s="835" t="s">
        <v>50</v>
      </c>
      <c r="X5" s="836" t="s">
        <v>51</v>
      </c>
    </row>
    <row r="6" spans="1:25" s="399" customFormat="1" ht="36" customHeight="1" thickTop="1" thickBot="1" x14ac:dyDescent="0.3">
      <c r="A6" s="393" t="s">
        <v>52</v>
      </c>
      <c r="B6" s="393" t="s">
        <v>53</v>
      </c>
      <c r="C6" s="394" t="s">
        <v>54</v>
      </c>
      <c r="D6" s="393" t="s">
        <v>55</v>
      </c>
      <c r="E6" s="393" t="s">
        <v>56</v>
      </c>
      <c r="F6" s="393" t="s">
        <v>57</v>
      </c>
      <c r="G6" s="393" t="s">
        <v>58</v>
      </c>
      <c r="H6" s="393" t="s">
        <v>59</v>
      </c>
      <c r="I6" s="395" t="s">
        <v>60</v>
      </c>
      <c r="J6" s="834"/>
      <c r="K6" s="834"/>
      <c r="L6" s="396" t="s">
        <v>61</v>
      </c>
      <c r="M6" s="397" t="s">
        <v>62</v>
      </c>
      <c r="N6" s="834"/>
      <c r="O6" s="398" t="s">
        <v>63</v>
      </c>
      <c r="P6" s="396" t="s">
        <v>64</v>
      </c>
      <c r="Q6" s="398" t="s">
        <v>65</v>
      </c>
      <c r="R6" s="398" t="s">
        <v>66</v>
      </c>
      <c r="S6" s="861"/>
      <c r="T6" s="834"/>
      <c r="U6" s="833"/>
      <c r="V6" s="834"/>
      <c r="W6" s="835"/>
      <c r="X6" s="836"/>
    </row>
    <row r="7" spans="1:25" ht="22.5" customHeight="1" thickTop="1" thickBot="1" x14ac:dyDescent="0.3">
      <c r="A7" s="400" t="s">
        <v>67</v>
      </c>
      <c r="B7" s="400"/>
      <c r="C7" s="400"/>
      <c r="D7" s="400"/>
      <c r="E7" s="400"/>
      <c r="F7" s="401"/>
      <c r="G7" s="401"/>
      <c r="H7" s="401"/>
      <c r="I7" s="402"/>
      <c r="J7" s="403" t="s">
        <v>68</v>
      </c>
      <c r="K7" s="404" t="e">
        <f>+K8+#REF!+K335</f>
        <v>#REF!</v>
      </c>
      <c r="L7" s="404"/>
      <c r="M7" s="404"/>
      <c r="N7" s="404"/>
      <c r="O7" s="404"/>
      <c r="P7" s="404"/>
      <c r="Q7" s="404"/>
      <c r="R7" s="404"/>
      <c r="S7" s="404"/>
      <c r="T7" s="404"/>
      <c r="U7" s="405"/>
      <c r="V7" s="400"/>
      <c r="W7" s="400" t="s">
        <v>69</v>
      </c>
      <c r="X7" s="400" t="s">
        <v>70</v>
      </c>
      <c r="Y7" s="406" t="s">
        <v>70</v>
      </c>
    </row>
    <row r="8" spans="1:25" ht="22.5" customHeight="1" thickTop="1" thickBot="1" x14ac:dyDescent="0.3">
      <c r="A8" s="400" t="s">
        <v>67</v>
      </c>
      <c r="B8" s="400" t="s">
        <v>71</v>
      </c>
      <c r="C8" s="400"/>
      <c r="D8" s="400"/>
      <c r="E8" s="400"/>
      <c r="F8" s="401"/>
      <c r="G8" s="401"/>
      <c r="H8" s="401"/>
      <c r="I8" s="402"/>
      <c r="J8" s="403" t="s">
        <v>72</v>
      </c>
      <c r="K8" s="404"/>
      <c r="L8" s="404"/>
      <c r="M8" s="404"/>
      <c r="N8" s="404"/>
      <c r="O8" s="404"/>
      <c r="P8" s="404"/>
      <c r="Q8" s="404"/>
      <c r="R8" s="404"/>
      <c r="S8" s="404"/>
      <c r="T8" s="404"/>
      <c r="U8" s="405"/>
      <c r="V8" s="400"/>
      <c r="W8" s="400"/>
      <c r="X8" s="400"/>
      <c r="Y8" s="406"/>
    </row>
    <row r="9" spans="1:25" ht="22.5" customHeight="1" thickTop="1" thickBot="1" x14ac:dyDescent="0.3">
      <c r="A9" s="407">
        <v>1</v>
      </c>
      <c r="B9" s="408" t="s">
        <v>71</v>
      </c>
      <c r="C9" s="408" t="s">
        <v>71</v>
      </c>
      <c r="D9" s="408"/>
      <c r="E9" s="408"/>
      <c r="F9" s="409"/>
      <c r="G9" s="409"/>
      <c r="H9" s="409"/>
      <c r="I9" s="409"/>
      <c r="J9" s="410" t="s">
        <v>73</v>
      </c>
      <c r="K9" s="411"/>
      <c r="L9" s="411"/>
      <c r="M9" s="411"/>
      <c r="N9" s="411"/>
      <c r="O9" s="411"/>
      <c r="P9" s="411"/>
      <c r="Q9" s="411"/>
      <c r="R9" s="411"/>
      <c r="S9" s="411"/>
      <c r="T9" s="411"/>
      <c r="U9" s="412"/>
      <c r="V9" s="407"/>
      <c r="W9" s="407" t="s">
        <v>74</v>
      </c>
      <c r="X9" s="407"/>
      <c r="Y9" s="406" t="s">
        <v>70</v>
      </c>
    </row>
    <row r="10" spans="1:25" ht="22.5" customHeight="1" thickTop="1" thickBot="1" x14ac:dyDescent="0.3">
      <c r="A10" s="413">
        <v>1</v>
      </c>
      <c r="B10" s="414" t="s">
        <v>71</v>
      </c>
      <c r="C10" s="414" t="s">
        <v>71</v>
      </c>
      <c r="D10" s="414" t="s">
        <v>71</v>
      </c>
      <c r="E10" s="414"/>
      <c r="F10" s="415"/>
      <c r="G10" s="415"/>
      <c r="H10" s="415"/>
      <c r="I10" s="415"/>
      <c r="J10" s="416" t="s">
        <v>75</v>
      </c>
      <c r="K10" s="417"/>
      <c r="L10" s="417"/>
      <c r="M10" s="417"/>
      <c r="N10" s="417"/>
      <c r="O10" s="417"/>
      <c r="P10" s="417"/>
      <c r="Q10" s="417"/>
      <c r="R10" s="417"/>
      <c r="S10" s="417"/>
      <c r="T10" s="417"/>
      <c r="U10" s="418"/>
      <c r="V10" s="413"/>
      <c r="W10" s="413" t="s">
        <v>76</v>
      </c>
      <c r="X10" s="413" t="s">
        <v>77</v>
      </c>
      <c r="Y10" s="406" t="s">
        <v>70</v>
      </c>
    </row>
    <row r="11" spans="1:25" ht="22.5" customHeight="1" thickTop="1" thickBot="1" x14ac:dyDescent="0.3">
      <c r="A11" s="419" t="s">
        <v>67</v>
      </c>
      <c r="B11" s="420" t="s">
        <v>71</v>
      </c>
      <c r="C11" s="420" t="s">
        <v>71</v>
      </c>
      <c r="D11" s="420" t="s">
        <v>71</v>
      </c>
      <c r="E11" s="420" t="s">
        <v>71</v>
      </c>
      <c r="F11" s="421"/>
      <c r="G11" s="421"/>
      <c r="H11" s="421"/>
      <c r="I11" s="421"/>
      <c r="J11" s="422" t="s">
        <v>78</v>
      </c>
      <c r="K11" s="423"/>
      <c r="L11" s="423"/>
      <c r="M11" s="423"/>
      <c r="N11" s="423"/>
      <c r="O11" s="423"/>
      <c r="P11" s="423"/>
      <c r="Q11" s="423"/>
      <c r="R11" s="423"/>
      <c r="S11" s="423"/>
      <c r="T11" s="423"/>
      <c r="U11" s="424"/>
      <c r="V11" s="420"/>
      <c r="W11" s="419" t="s">
        <v>79</v>
      </c>
      <c r="X11" s="419" t="s">
        <v>80</v>
      </c>
      <c r="Y11" s="406" t="s">
        <v>70</v>
      </c>
    </row>
    <row r="12" spans="1:25" s="174" customFormat="1" ht="22.5" customHeight="1" thickTop="1" thickBot="1" x14ac:dyDescent="0.3">
      <c r="A12" s="425" t="s">
        <v>67</v>
      </c>
      <c r="B12" s="425" t="s">
        <v>71</v>
      </c>
      <c r="C12" s="425" t="s">
        <v>71</v>
      </c>
      <c r="D12" s="425" t="s">
        <v>71</v>
      </c>
      <c r="E12" s="425" t="s">
        <v>71</v>
      </c>
      <c r="F12" s="426" t="s">
        <v>71</v>
      </c>
      <c r="G12" s="426"/>
      <c r="H12" s="426"/>
      <c r="I12" s="426"/>
      <c r="J12" s="427" t="s">
        <v>81</v>
      </c>
      <c r="K12" s="428"/>
      <c r="L12" s="428"/>
      <c r="M12" s="428"/>
      <c r="N12" s="428"/>
      <c r="O12" s="428"/>
      <c r="P12" s="428"/>
      <c r="Q12" s="428"/>
      <c r="R12" s="428"/>
      <c r="S12" s="428"/>
      <c r="T12" s="428"/>
      <c r="U12" s="429"/>
      <c r="V12" s="430"/>
      <c r="W12" s="430" t="s">
        <v>82</v>
      </c>
      <c r="X12" s="430" t="s">
        <v>83</v>
      </c>
      <c r="Y12" s="406" t="s">
        <v>70</v>
      </c>
    </row>
    <row r="13" spans="1:25" ht="22.5" customHeight="1" thickTop="1" thickBot="1" x14ac:dyDescent="0.3">
      <c r="A13" s="426" t="s">
        <v>67</v>
      </c>
      <c r="B13" s="426" t="s">
        <v>71</v>
      </c>
      <c r="C13" s="426" t="s">
        <v>71</v>
      </c>
      <c r="D13" s="426" t="s">
        <v>71</v>
      </c>
      <c r="E13" s="426" t="s">
        <v>71</v>
      </c>
      <c r="F13" s="426" t="s">
        <v>71</v>
      </c>
      <c r="G13" s="426" t="s">
        <v>71</v>
      </c>
      <c r="H13" s="426"/>
      <c r="I13" s="426"/>
      <c r="J13" s="431" t="s">
        <v>84</v>
      </c>
      <c r="K13" s="432"/>
      <c r="L13" s="432"/>
      <c r="M13" s="432"/>
      <c r="N13" s="432"/>
      <c r="O13" s="432"/>
      <c r="P13" s="432"/>
      <c r="Q13" s="432"/>
      <c r="R13" s="432"/>
      <c r="S13" s="432"/>
      <c r="T13" s="432"/>
      <c r="U13" s="433"/>
      <c r="V13" s="434"/>
      <c r="W13" s="434"/>
      <c r="X13" s="434"/>
      <c r="Y13" s="406" t="s">
        <v>70</v>
      </c>
    </row>
    <row r="14" spans="1:25" ht="22.5" customHeight="1" thickTop="1" thickBot="1" x14ac:dyDescent="0.3">
      <c r="A14" s="426" t="s">
        <v>67</v>
      </c>
      <c r="B14" s="426" t="s">
        <v>71</v>
      </c>
      <c r="C14" s="426" t="s">
        <v>71</v>
      </c>
      <c r="D14" s="426" t="s">
        <v>71</v>
      </c>
      <c r="E14" s="426" t="s">
        <v>71</v>
      </c>
      <c r="F14" s="426" t="s">
        <v>71</v>
      </c>
      <c r="G14" s="426" t="s">
        <v>85</v>
      </c>
      <c r="H14" s="426"/>
      <c r="I14" s="426"/>
      <c r="J14" s="431" t="s">
        <v>86</v>
      </c>
      <c r="K14" s="432"/>
      <c r="L14" s="432"/>
      <c r="M14" s="432"/>
      <c r="N14" s="432"/>
      <c r="O14" s="432"/>
      <c r="P14" s="432"/>
      <c r="Q14" s="432"/>
      <c r="R14" s="432"/>
      <c r="S14" s="432"/>
      <c r="T14" s="432"/>
      <c r="U14" s="433"/>
      <c r="V14" s="434"/>
      <c r="W14" s="434"/>
      <c r="X14" s="434"/>
      <c r="Y14" s="406" t="s">
        <v>70</v>
      </c>
    </row>
    <row r="15" spans="1:25" ht="22.5" customHeight="1" thickTop="1" thickBot="1" x14ac:dyDescent="0.3">
      <c r="A15" s="426" t="s">
        <v>67</v>
      </c>
      <c r="B15" s="426" t="s">
        <v>71</v>
      </c>
      <c r="C15" s="426" t="s">
        <v>71</v>
      </c>
      <c r="D15" s="426" t="s">
        <v>71</v>
      </c>
      <c r="E15" s="426" t="s">
        <v>71</v>
      </c>
      <c r="F15" s="426" t="s">
        <v>71</v>
      </c>
      <c r="G15" s="426" t="s">
        <v>87</v>
      </c>
      <c r="H15" s="426"/>
      <c r="I15" s="426"/>
      <c r="J15" s="431" t="s">
        <v>88</v>
      </c>
      <c r="K15" s="432"/>
      <c r="L15" s="432"/>
      <c r="M15" s="432"/>
      <c r="N15" s="432"/>
      <c r="O15" s="432"/>
      <c r="P15" s="432"/>
      <c r="Q15" s="432"/>
      <c r="R15" s="432"/>
      <c r="S15" s="432"/>
      <c r="T15" s="432"/>
      <c r="U15" s="433"/>
      <c r="V15" s="434"/>
      <c r="W15" s="434"/>
      <c r="X15" s="434"/>
      <c r="Y15" s="406"/>
    </row>
    <row r="16" spans="1:25" ht="22.5" customHeight="1" thickTop="1" thickBot="1" x14ac:dyDescent="0.3">
      <c r="A16" s="426" t="s">
        <v>67</v>
      </c>
      <c r="B16" s="426" t="s">
        <v>71</v>
      </c>
      <c r="C16" s="426" t="s">
        <v>71</v>
      </c>
      <c r="D16" s="426" t="s">
        <v>71</v>
      </c>
      <c r="E16" s="426" t="s">
        <v>71</v>
      </c>
      <c r="F16" s="426" t="s">
        <v>71</v>
      </c>
      <c r="G16" s="426" t="s">
        <v>89</v>
      </c>
      <c r="H16" s="426"/>
      <c r="I16" s="426"/>
      <c r="J16" s="431" t="s">
        <v>90</v>
      </c>
      <c r="K16" s="432"/>
      <c r="L16" s="432"/>
      <c r="M16" s="432"/>
      <c r="N16" s="432"/>
      <c r="O16" s="432"/>
      <c r="P16" s="432"/>
      <c r="Q16" s="432"/>
      <c r="R16" s="432"/>
      <c r="S16" s="432"/>
      <c r="T16" s="432"/>
      <c r="U16" s="433"/>
      <c r="V16" s="434"/>
      <c r="W16" s="434"/>
      <c r="X16" s="434"/>
      <c r="Y16" s="406"/>
    </row>
    <row r="17" spans="1:25" ht="22.5" customHeight="1" thickTop="1" thickBot="1" x14ac:dyDescent="0.3">
      <c r="A17" s="426" t="s">
        <v>67</v>
      </c>
      <c r="B17" s="426" t="s">
        <v>71</v>
      </c>
      <c r="C17" s="426" t="s">
        <v>71</v>
      </c>
      <c r="D17" s="426" t="s">
        <v>71</v>
      </c>
      <c r="E17" s="426" t="s">
        <v>71</v>
      </c>
      <c r="F17" s="426" t="s">
        <v>71</v>
      </c>
      <c r="G17" s="426" t="s">
        <v>91</v>
      </c>
      <c r="H17" s="426"/>
      <c r="I17" s="426"/>
      <c r="J17" s="431" t="s">
        <v>92</v>
      </c>
      <c r="K17" s="432"/>
      <c r="L17" s="432"/>
      <c r="M17" s="432"/>
      <c r="N17" s="432"/>
      <c r="O17" s="432"/>
      <c r="P17" s="432"/>
      <c r="Q17" s="432"/>
      <c r="R17" s="432"/>
      <c r="S17" s="432"/>
      <c r="T17" s="432"/>
      <c r="U17" s="433"/>
      <c r="V17" s="434"/>
      <c r="W17" s="434"/>
      <c r="X17" s="434"/>
      <c r="Y17" s="406"/>
    </row>
    <row r="18" spans="1:25" ht="22.5" customHeight="1" thickTop="1" thickBot="1" x14ac:dyDescent="0.3">
      <c r="A18" s="426" t="s">
        <v>67</v>
      </c>
      <c r="B18" s="426" t="s">
        <v>71</v>
      </c>
      <c r="C18" s="426" t="s">
        <v>71</v>
      </c>
      <c r="D18" s="426" t="s">
        <v>71</v>
      </c>
      <c r="E18" s="426" t="s">
        <v>71</v>
      </c>
      <c r="F18" s="426" t="s">
        <v>71</v>
      </c>
      <c r="G18" s="426" t="s">
        <v>93</v>
      </c>
      <c r="H18" s="426"/>
      <c r="I18" s="426"/>
      <c r="J18" s="431" t="s">
        <v>94</v>
      </c>
      <c r="K18" s="432"/>
      <c r="L18" s="432"/>
      <c r="M18" s="432"/>
      <c r="N18" s="432"/>
      <c r="O18" s="432"/>
      <c r="P18" s="432"/>
      <c r="Q18" s="432"/>
      <c r="R18" s="432"/>
      <c r="S18" s="432"/>
      <c r="T18" s="432"/>
      <c r="U18" s="433"/>
      <c r="V18" s="434"/>
      <c r="W18" s="434"/>
      <c r="X18" s="434"/>
      <c r="Y18" s="406"/>
    </row>
    <row r="19" spans="1:25" ht="22.5" customHeight="1" thickTop="1" thickBot="1" x14ac:dyDescent="0.3">
      <c r="A19" s="426" t="s">
        <v>67</v>
      </c>
      <c r="B19" s="426" t="s">
        <v>71</v>
      </c>
      <c r="C19" s="426" t="s">
        <v>71</v>
      </c>
      <c r="D19" s="426" t="s">
        <v>71</v>
      </c>
      <c r="E19" s="426" t="s">
        <v>71</v>
      </c>
      <c r="F19" s="426" t="s">
        <v>71</v>
      </c>
      <c r="G19" s="426" t="s">
        <v>95</v>
      </c>
      <c r="H19" s="426"/>
      <c r="I19" s="426"/>
      <c r="J19" s="431" t="s">
        <v>96</v>
      </c>
      <c r="K19" s="432"/>
      <c r="L19" s="432"/>
      <c r="M19" s="432"/>
      <c r="N19" s="432"/>
      <c r="O19" s="432"/>
      <c r="P19" s="432"/>
      <c r="Q19" s="432"/>
      <c r="R19" s="432"/>
      <c r="S19" s="432"/>
      <c r="T19" s="432"/>
      <c r="U19" s="433"/>
      <c r="V19" s="434"/>
      <c r="W19" s="434"/>
      <c r="X19" s="434"/>
      <c r="Y19" s="406"/>
    </row>
    <row r="20" spans="1:25" ht="22.5" customHeight="1" thickTop="1" thickBot="1" x14ac:dyDescent="0.3">
      <c r="A20" s="426" t="s">
        <v>67</v>
      </c>
      <c r="B20" s="426" t="s">
        <v>71</v>
      </c>
      <c r="C20" s="426" t="s">
        <v>71</v>
      </c>
      <c r="D20" s="426" t="s">
        <v>71</v>
      </c>
      <c r="E20" s="426" t="s">
        <v>71</v>
      </c>
      <c r="F20" s="426" t="s">
        <v>71</v>
      </c>
      <c r="G20" s="426" t="s">
        <v>97</v>
      </c>
      <c r="H20" s="426"/>
      <c r="I20" s="426"/>
      <c r="J20" s="431" t="s">
        <v>90</v>
      </c>
      <c r="K20" s="432"/>
      <c r="L20" s="432"/>
      <c r="M20" s="432"/>
      <c r="N20" s="432"/>
      <c r="O20" s="432"/>
      <c r="P20" s="432"/>
      <c r="Q20" s="432"/>
      <c r="R20" s="432"/>
      <c r="S20" s="432"/>
      <c r="T20" s="432"/>
      <c r="U20" s="433"/>
      <c r="V20" s="434"/>
      <c r="W20" s="434"/>
      <c r="X20" s="434"/>
      <c r="Y20" s="406"/>
    </row>
    <row r="21" spans="1:25" s="174" customFormat="1" ht="22.5" customHeight="1" thickTop="1" thickBot="1" x14ac:dyDescent="0.3">
      <c r="A21" s="425" t="s">
        <v>67</v>
      </c>
      <c r="B21" s="425" t="s">
        <v>71</v>
      </c>
      <c r="C21" s="425" t="s">
        <v>71</v>
      </c>
      <c r="D21" s="425" t="s">
        <v>71</v>
      </c>
      <c r="E21" s="425" t="s">
        <v>71</v>
      </c>
      <c r="F21" s="425" t="s">
        <v>85</v>
      </c>
      <c r="G21" s="426"/>
      <c r="H21" s="426"/>
      <c r="I21" s="426"/>
      <c r="J21" s="427" t="s">
        <v>98</v>
      </c>
      <c r="K21" s="435"/>
      <c r="L21" s="435"/>
      <c r="M21" s="435"/>
      <c r="N21" s="435"/>
      <c r="O21" s="435"/>
      <c r="P21" s="435"/>
      <c r="Q21" s="435"/>
      <c r="R21" s="435"/>
      <c r="S21" s="435"/>
      <c r="T21" s="435"/>
      <c r="U21" s="436"/>
      <c r="V21" s="430"/>
      <c r="W21" s="430" t="s">
        <v>99</v>
      </c>
      <c r="X21" s="430" t="s">
        <v>100</v>
      </c>
      <c r="Y21" s="406" t="s">
        <v>70</v>
      </c>
    </row>
    <row r="22" spans="1:25" ht="22.5" customHeight="1" thickTop="1" thickBot="1" x14ac:dyDescent="0.3">
      <c r="A22" s="426" t="s">
        <v>67</v>
      </c>
      <c r="B22" s="426" t="s">
        <v>71</v>
      </c>
      <c r="C22" s="426" t="s">
        <v>71</v>
      </c>
      <c r="D22" s="426" t="s">
        <v>71</v>
      </c>
      <c r="E22" s="426" t="s">
        <v>85</v>
      </c>
      <c r="F22" s="425" t="s">
        <v>85</v>
      </c>
      <c r="G22" s="426" t="s">
        <v>71</v>
      </c>
      <c r="H22" s="426"/>
      <c r="I22" s="426"/>
      <c r="J22" s="431" t="s">
        <v>101</v>
      </c>
      <c r="K22" s="437"/>
      <c r="L22" s="437"/>
      <c r="M22" s="437"/>
      <c r="N22" s="432"/>
      <c r="O22" s="437"/>
      <c r="P22" s="437"/>
      <c r="Q22" s="437"/>
      <c r="R22" s="437"/>
      <c r="S22" s="432"/>
      <c r="T22" s="437"/>
      <c r="U22" s="438"/>
      <c r="V22" s="434"/>
      <c r="W22" s="434"/>
      <c r="X22" s="434"/>
      <c r="Y22" s="406" t="s">
        <v>70</v>
      </c>
    </row>
    <row r="23" spans="1:25" ht="22.5" customHeight="1" thickTop="1" thickBot="1" x14ac:dyDescent="0.3">
      <c r="A23" s="426" t="s">
        <v>67</v>
      </c>
      <c r="B23" s="426" t="s">
        <v>71</v>
      </c>
      <c r="C23" s="426" t="s">
        <v>71</v>
      </c>
      <c r="D23" s="426" t="s">
        <v>71</v>
      </c>
      <c r="E23" s="426" t="s">
        <v>85</v>
      </c>
      <c r="F23" s="425" t="s">
        <v>85</v>
      </c>
      <c r="G23" s="426" t="s">
        <v>85</v>
      </c>
      <c r="H23" s="426"/>
      <c r="I23" s="426"/>
      <c r="J23" s="431" t="s">
        <v>102</v>
      </c>
      <c r="K23" s="437"/>
      <c r="L23" s="437"/>
      <c r="M23" s="437"/>
      <c r="N23" s="432"/>
      <c r="O23" s="437"/>
      <c r="P23" s="437"/>
      <c r="Q23" s="437"/>
      <c r="R23" s="437"/>
      <c r="S23" s="432"/>
      <c r="T23" s="437"/>
      <c r="U23" s="438"/>
      <c r="V23" s="434"/>
      <c r="W23" s="434"/>
      <c r="X23" s="434"/>
      <c r="Y23" s="406" t="s">
        <v>70</v>
      </c>
    </row>
    <row r="24" spans="1:25" ht="22.5" customHeight="1" thickTop="1" thickBot="1" x14ac:dyDescent="0.3">
      <c r="A24" s="426" t="s">
        <v>67</v>
      </c>
      <c r="B24" s="426" t="s">
        <v>71</v>
      </c>
      <c r="C24" s="426" t="s">
        <v>71</v>
      </c>
      <c r="D24" s="426" t="s">
        <v>71</v>
      </c>
      <c r="E24" s="426" t="s">
        <v>85</v>
      </c>
      <c r="F24" s="425" t="s">
        <v>85</v>
      </c>
      <c r="G24" s="426" t="s">
        <v>87</v>
      </c>
      <c r="H24" s="426"/>
      <c r="I24" s="426"/>
      <c r="J24" s="431" t="s">
        <v>103</v>
      </c>
      <c r="K24" s="437"/>
      <c r="L24" s="437"/>
      <c r="M24" s="437"/>
      <c r="N24" s="432"/>
      <c r="O24" s="437"/>
      <c r="P24" s="437"/>
      <c r="Q24" s="437"/>
      <c r="R24" s="437"/>
      <c r="S24" s="432"/>
      <c r="T24" s="437"/>
      <c r="U24" s="438"/>
      <c r="V24" s="434"/>
      <c r="W24" s="434"/>
      <c r="X24" s="434"/>
      <c r="Y24" s="406"/>
    </row>
    <row r="25" spans="1:25" ht="22.5" customHeight="1" thickTop="1" thickBot="1" x14ac:dyDescent="0.3">
      <c r="A25" s="426" t="s">
        <v>67</v>
      </c>
      <c r="B25" s="426" t="s">
        <v>71</v>
      </c>
      <c r="C25" s="426" t="s">
        <v>71</v>
      </c>
      <c r="D25" s="426" t="s">
        <v>71</v>
      </c>
      <c r="E25" s="426" t="s">
        <v>85</v>
      </c>
      <c r="F25" s="425" t="s">
        <v>85</v>
      </c>
      <c r="G25" s="426" t="s">
        <v>89</v>
      </c>
      <c r="H25" s="426"/>
      <c r="I25" s="426"/>
      <c r="J25" s="431" t="s">
        <v>104</v>
      </c>
      <c r="K25" s="437"/>
      <c r="L25" s="437"/>
      <c r="M25" s="437"/>
      <c r="N25" s="432"/>
      <c r="O25" s="437"/>
      <c r="P25" s="437"/>
      <c r="Q25" s="437"/>
      <c r="R25" s="437"/>
      <c r="S25" s="432"/>
      <c r="T25" s="437"/>
      <c r="U25" s="438"/>
      <c r="V25" s="434"/>
      <c r="W25" s="434"/>
      <c r="X25" s="434"/>
      <c r="Y25" s="406"/>
    </row>
    <row r="26" spans="1:25" ht="22.5" customHeight="1" thickTop="1" thickBot="1" x14ac:dyDescent="0.3">
      <c r="A26" s="426" t="s">
        <v>67</v>
      </c>
      <c r="B26" s="426" t="s">
        <v>71</v>
      </c>
      <c r="C26" s="426" t="s">
        <v>71</v>
      </c>
      <c r="D26" s="426" t="s">
        <v>71</v>
      </c>
      <c r="E26" s="426" t="s">
        <v>85</v>
      </c>
      <c r="F26" s="425" t="s">
        <v>85</v>
      </c>
      <c r="G26" s="426" t="s">
        <v>91</v>
      </c>
      <c r="H26" s="426"/>
      <c r="I26" s="426"/>
      <c r="J26" s="431" t="s">
        <v>105</v>
      </c>
      <c r="K26" s="437"/>
      <c r="L26" s="437"/>
      <c r="M26" s="437"/>
      <c r="N26" s="432"/>
      <c r="O26" s="437"/>
      <c r="P26" s="437"/>
      <c r="Q26" s="437"/>
      <c r="R26" s="437"/>
      <c r="S26" s="432"/>
      <c r="T26" s="437"/>
      <c r="U26" s="438"/>
      <c r="V26" s="434"/>
      <c r="W26" s="434"/>
      <c r="X26" s="434"/>
      <c r="Y26" s="406"/>
    </row>
    <row r="27" spans="1:25" ht="22.5" customHeight="1" thickTop="1" thickBot="1" x14ac:dyDescent="0.3">
      <c r="A27" s="426" t="s">
        <v>67</v>
      </c>
      <c r="B27" s="426" t="s">
        <v>71</v>
      </c>
      <c r="C27" s="426" t="s">
        <v>71</v>
      </c>
      <c r="D27" s="426" t="s">
        <v>71</v>
      </c>
      <c r="E27" s="426" t="s">
        <v>85</v>
      </c>
      <c r="F27" s="425" t="s">
        <v>85</v>
      </c>
      <c r="G27" s="426" t="s">
        <v>93</v>
      </c>
      <c r="H27" s="426"/>
      <c r="I27" s="426"/>
      <c r="J27" s="431" t="s">
        <v>106</v>
      </c>
      <c r="K27" s="437"/>
      <c r="L27" s="437"/>
      <c r="M27" s="437"/>
      <c r="N27" s="432"/>
      <c r="O27" s="437"/>
      <c r="P27" s="437"/>
      <c r="Q27" s="437"/>
      <c r="R27" s="437"/>
      <c r="S27" s="432"/>
      <c r="T27" s="437"/>
      <c r="U27" s="438"/>
      <c r="V27" s="434"/>
      <c r="W27" s="434"/>
      <c r="X27" s="434"/>
      <c r="Y27" s="406"/>
    </row>
    <row r="28" spans="1:25" ht="22.5" customHeight="1" thickTop="1" thickBot="1" x14ac:dyDescent="0.3">
      <c r="A28" s="426" t="s">
        <v>67</v>
      </c>
      <c r="B28" s="426" t="s">
        <v>71</v>
      </c>
      <c r="C28" s="426" t="s">
        <v>71</v>
      </c>
      <c r="D28" s="426" t="s">
        <v>71</v>
      </c>
      <c r="E28" s="426" t="s">
        <v>85</v>
      </c>
      <c r="F28" s="425" t="s">
        <v>85</v>
      </c>
      <c r="G28" s="426" t="s">
        <v>95</v>
      </c>
      <c r="H28" s="426"/>
      <c r="I28" s="426"/>
      <c r="J28" s="431" t="s">
        <v>107</v>
      </c>
      <c r="K28" s="437"/>
      <c r="L28" s="437"/>
      <c r="M28" s="437"/>
      <c r="N28" s="432"/>
      <c r="O28" s="437"/>
      <c r="P28" s="437"/>
      <c r="Q28" s="437"/>
      <c r="R28" s="437"/>
      <c r="S28" s="432"/>
      <c r="T28" s="437"/>
      <c r="U28" s="438"/>
      <c r="V28" s="434"/>
      <c r="W28" s="434"/>
      <c r="X28" s="434"/>
      <c r="Y28" s="406"/>
    </row>
    <row r="29" spans="1:25" ht="22.5" customHeight="1" thickTop="1" thickBot="1" x14ac:dyDescent="0.3">
      <c r="A29" s="426" t="s">
        <v>67</v>
      </c>
      <c r="B29" s="426" t="s">
        <v>71</v>
      </c>
      <c r="C29" s="426" t="s">
        <v>71</v>
      </c>
      <c r="D29" s="426" t="s">
        <v>71</v>
      </c>
      <c r="E29" s="426" t="s">
        <v>85</v>
      </c>
      <c r="F29" s="425" t="s">
        <v>85</v>
      </c>
      <c r="G29" s="426" t="s">
        <v>97</v>
      </c>
      <c r="H29" s="426"/>
      <c r="I29" s="426"/>
      <c r="J29" s="431" t="s">
        <v>104</v>
      </c>
      <c r="K29" s="437"/>
      <c r="L29" s="437"/>
      <c r="M29" s="437"/>
      <c r="N29" s="432"/>
      <c r="O29" s="437"/>
      <c r="P29" s="437"/>
      <c r="Q29" s="437"/>
      <c r="R29" s="437"/>
      <c r="S29" s="432"/>
      <c r="T29" s="437"/>
      <c r="U29" s="438"/>
      <c r="V29" s="434"/>
      <c r="W29" s="434"/>
      <c r="X29" s="434"/>
      <c r="Y29" s="406"/>
    </row>
    <row r="30" spans="1:25" ht="22.5" customHeight="1" thickTop="1" thickBot="1" x14ac:dyDescent="0.3">
      <c r="A30" s="434" t="s">
        <v>67</v>
      </c>
      <c r="B30" s="434" t="s">
        <v>71</v>
      </c>
      <c r="C30" s="426" t="s">
        <v>71</v>
      </c>
      <c r="D30" s="426" t="s">
        <v>71</v>
      </c>
      <c r="E30" s="434" t="s">
        <v>71</v>
      </c>
      <c r="F30" s="434" t="s">
        <v>71</v>
      </c>
      <c r="G30" s="425" t="s">
        <v>71</v>
      </c>
      <c r="H30" s="426"/>
      <c r="I30" s="426"/>
      <c r="J30" s="427" t="s">
        <v>108</v>
      </c>
      <c r="K30" s="443"/>
      <c r="L30" s="443"/>
      <c r="M30" s="443"/>
      <c r="N30" s="443"/>
      <c r="O30" s="443"/>
      <c r="P30" s="443"/>
      <c r="Q30" s="443"/>
      <c r="R30" s="443"/>
      <c r="S30" s="443"/>
      <c r="T30" s="443"/>
      <c r="U30" s="429"/>
      <c r="V30" s="425"/>
      <c r="W30" s="434" t="s">
        <v>109</v>
      </c>
      <c r="X30" s="434" t="s">
        <v>110</v>
      </c>
      <c r="Y30" s="406" t="s">
        <v>70</v>
      </c>
    </row>
    <row r="31" spans="1:25" ht="22.5" customHeight="1" thickTop="1" thickBot="1" x14ac:dyDescent="0.3">
      <c r="A31" s="434" t="s">
        <v>67</v>
      </c>
      <c r="B31" s="434" t="s">
        <v>71</v>
      </c>
      <c r="C31" s="426" t="s">
        <v>71</v>
      </c>
      <c r="D31" s="426" t="s">
        <v>71</v>
      </c>
      <c r="E31" s="434" t="s">
        <v>71</v>
      </c>
      <c r="F31" s="434" t="s">
        <v>71</v>
      </c>
      <c r="G31" s="426" t="s">
        <v>71</v>
      </c>
      <c r="H31" s="426" t="s">
        <v>71</v>
      </c>
      <c r="I31" s="426"/>
      <c r="J31" s="431" t="s">
        <v>111</v>
      </c>
      <c r="K31" s="444"/>
      <c r="L31" s="444"/>
      <c r="M31" s="444"/>
      <c r="N31" s="444"/>
      <c r="O31" s="444"/>
      <c r="P31" s="444"/>
      <c r="Q31" s="444"/>
      <c r="R31" s="444"/>
      <c r="S31" s="444"/>
      <c r="T31" s="444"/>
      <c r="U31" s="433"/>
      <c r="V31" s="425"/>
      <c r="W31" s="434"/>
      <c r="X31" s="434"/>
      <c r="Y31" s="406" t="s">
        <v>70</v>
      </c>
    </row>
    <row r="32" spans="1:25" ht="22.5" customHeight="1" thickTop="1" thickBot="1" x14ac:dyDescent="0.3">
      <c r="A32" s="434" t="s">
        <v>67</v>
      </c>
      <c r="B32" s="434" t="s">
        <v>71</v>
      </c>
      <c r="C32" s="426" t="s">
        <v>71</v>
      </c>
      <c r="D32" s="426" t="s">
        <v>71</v>
      </c>
      <c r="E32" s="434" t="s">
        <v>71</v>
      </c>
      <c r="F32" s="434" t="s">
        <v>71</v>
      </c>
      <c r="G32" s="426" t="s">
        <v>71</v>
      </c>
      <c r="H32" s="426" t="s">
        <v>85</v>
      </c>
      <c r="I32" s="426"/>
      <c r="J32" s="431" t="s">
        <v>112</v>
      </c>
      <c r="K32" s="444"/>
      <c r="L32" s="444"/>
      <c r="M32" s="444"/>
      <c r="N32" s="444"/>
      <c r="O32" s="444"/>
      <c r="P32" s="444"/>
      <c r="Q32" s="444"/>
      <c r="R32" s="444"/>
      <c r="S32" s="444"/>
      <c r="T32" s="444"/>
      <c r="U32" s="433"/>
      <c r="V32" s="425"/>
      <c r="W32" s="434"/>
      <c r="X32" s="434"/>
      <c r="Y32" s="406" t="s">
        <v>70</v>
      </c>
    </row>
    <row r="33" spans="1:25" ht="22.5" customHeight="1" thickTop="1" thickBot="1" x14ac:dyDescent="0.3">
      <c r="A33" s="434" t="s">
        <v>67</v>
      </c>
      <c r="B33" s="434" t="s">
        <v>71</v>
      </c>
      <c r="C33" s="426" t="s">
        <v>71</v>
      </c>
      <c r="D33" s="426" t="s">
        <v>71</v>
      </c>
      <c r="E33" s="434" t="s">
        <v>71</v>
      </c>
      <c r="F33" s="434" t="s">
        <v>71</v>
      </c>
      <c r="G33" s="426" t="s">
        <v>71</v>
      </c>
      <c r="H33" s="426" t="s">
        <v>87</v>
      </c>
      <c r="I33" s="426"/>
      <c r="J33" s="431" t="s">
        <v>113</v>
      </c>
      <c r="K33" s="444"/>
      <c r="L33" s="444"/>
      <c r="M33" s="444"/>
      <c r="N33" s="444"/>
      <c r="O33" s="444"/>
      <c r="P33" s="444"/>
      <c r="Q33" s="444"/>
      <c r="R33" s="444"/>
      <c r="S33" s="444"/>
      <c r="T33" s="444"/>
      <c r="U33" s="433"/>
      <c r="V33" s="425"/>
      <c r="W33" s="434"/>
      <c r="X33" s="434"/>
      <c r="Y33" s="406"/>
    </row>
    <row r="34" spans="1:25" ht="22.5" customHeight="1" thickTop="1" thickBot="1" x14ac:dyDescent="0.3">
      <c r="A34" s="434" t="s">
        <v>67</v>
      </c>
      <c r="B34" s="434" t="s">
        <v>71</v>
      </c>
      <c r="C34" s="426" t="s">
        <v>71</v>
      </c>
      <c r="D34" s="426" t="s">
        <v>71</v>
      </c>
      <c r="E34" s="434" t="s">
        <v>71</v>
      </c>
      <c r="F34" s="434" t="s">
        <v>71</v>
      </c>
      <c r="G34" s="426" t="s">
        <v>71</v>
      </c>
      <c r="H34" s="426" t="s">
        <v>89</v>
      </c>
      <c r="I34" s="426"/>
      <c r="J34" s="431" t="s">
        <v>114</v>
      </c>
      <c r="K34" s="444"/>
      <c r="L34" s="444"/>
      <c r="M34" s="444"/>
      <c r="N34" s="444"/>
      <c r="O34" s="444"/>
      <c r="P34" s="444"/>
      <c r="Q34" s="444"/>
      <c r="R34" s="444"/>
      <c r="S34" s="444"/>
      <c r="T34" s="444"/>
      <c r="U34" s="433"/>
      <c r="V34" s="425"/>
      <c r="W34" s="434"/>
      <c r="X34" s="434"/>
      <c r="Y34" s="406"/>
    </row>
    <row r="35" spans="1:25" ht="22.5" customHeight="1" thickTop="1" thickBot="1" x14ac:dyDescent="0.3">
      <c r="A35" s="434" t="s">
        <v>67</v>
      </c>
      <c r="B35" s="434" t="s">
        <v>71</v>
      </c>
      <c r="C35" s="426" t="s">
        <v>71</v>
      </c>
      <c r="D35" s="426" t="s">
        <v>71</v>
      </c>
      <c r="E35" s="434" t="s">
        <v>71</v>
      </c>
      <c r="F35" s="434" t="s">
        <v>71</v>
      </c>
      <c r="G35" s="426" t="s">
        <v>71</v>
      </c>
      <c r="H35" s="426" t="s">
        <v>91</v>
      </c>
      <c r="I35" s="426"/>
      <c r="J35" s="431" t="s">
        <v>115</v>
      </c>
      <c r="K35" s="444"/>
      <c r="L35" s="444"/>
      <c r="M35" s="444"/>
      <c r="N35" s="444"/>
      <c r="O35" s="444"/>
      <c r="P35" s="444"/>
      <c r="Q35" s="444"/>
      <c r="R35" s="444"/>
      <c r="S35" s="444"/>
      <c r="T35" s="444"/>
      <c r="U35" s="433"/>
      <c r="V35" s="425"/>
      <c r="W35" s="434"/>
      <c r="X35" s="434"/>
      <c r="Y35" s="406"/>
    </row>
    <row r="36" spans="1:25" ht="22.5" customHeight="1" thickTop="1" thickBot="1" x14ac:dyDescent="0.3">
      <c r="A36" s="434" t="s">
        <v>67</v>
      </c>
      <c r="B36" s="434" t="s">
        <v>71</v>
      </c>
      <c r="C36" s="426" t="s">
        <v>71</v>
      </c>
      <c r="D36" s="426" t="s">
        <v>71</v>
      </c>
      <c r="E36" s="434" t="s">
        <v>71</v>
      </c>
      <c r="F36" s="434" t="s">
        <v>71</v>
      </c>
      <c r="G36" s="426" t="s">
        <v>71</v>
      </c>
      <c r="H36" s="426" t="s">
        <v>93</v>
      </c>
      <c r="I36" s="426"/>
      <c r="J36" s="431" t="s">
        <v>116</v>
      </c>
      <c r="K36" s="444"/>
      <c r="L36" s="444"/>
      <c r="M36" s="444"/>
      <c r="N36" s="444"/>
      <c r="O36" s="444"/>
      <c r="P36" s="444"/>
      <c r="Q36" s="444"/>
      <c r="R36" s="444"/>
      <c r="S36" s="444"/>
      <c r="T36" s="444"/>
      <c r="U36" s="433"/>
      <c r="V36" s="425"/>
      <c r="W36" s="434"/>
      <c r="X36" s="434"/>
      <c r="Y36" s="406"/>
    </row>
    <row r="37" spans="1:25" ht="22.5" customHeight="1" thickTop="1" thickBot="1" x14ac:dyDescent="0.3">
      <c r="A37" s="434" t="s">
        <v>67</v>
      </c>
      <c r="B37" s="434" t="s">
        <v>71</v>
      </c>
      <c r="C37" s="426" t="s">
        <v>71</v>
      </c>
      <c r="D37" s="426" t="s">
        <v>71</v>
      </c>
      <c r="E37" s="434" t="s">
        <v>71</v>
      </c>
      <c r="F37" s="434" t="s">
        <v>71</v>
      </c>
      <c r="G37" s="426" t="s">
        <v>71</v>
      </c>
      <c r="H37" s="426" t="s">
        <v>95</v>
      </c>
      <c r="I37" s="426"/>
      <c r="J37" s="431" t="s">
        <v>117</v>
      </c>
      <c r="K37" s="444"/>
      <c r="L37" s="444"/>
      <c r="M37" s="444"/>
      <c r="N37" s="444"/>
      <c r="O37" s="444"/>
      <c r="P37" s="444"/>
      <c r="Q37" s="444"/>
      <c r="R37" s="444"/>
      <c r="S37" s="444"/>
      <c r="T37" s="444"/>
      <c r="U37" s="433"/>
      <c r="V37" s="425"/>
      <c r="W37" s="434"/>
      <c r="X37" s="434"/>
      <c r="Y37" s="406"/>
    </row>
    <row r="38" spans="1:25" ht="22.5" customHeight="1" thickTop="1" thickBot="1" x14ac:dyDescent="0.3">
      <c r="A38" s="434" t="s">
        <v>67</v>
      </c>
      <c r="B38" s="434" t="s">
        <v>71</v>
      </c>
      <c r="C38" s="426" t="s">
        <v>71</v>
      </c>
      <c r="D38" s="426" t="s">
        <v>71</v>
      </c>
      <c r="E38" s="434" t="s">
        <v>71</v>
      </c>
      <c r="F38" s="434" t="s">
        <v>71</v>
      </c>
      <c r="G38" s="426" t="s">
        <v>71</v>
      </c>
      <c r="H38" s="426" t="s">
        <v>97</v>
      </c>
      <c r="I38" s="426"/>
      <c r="J38" s="431" t="s">
        <v>114</v>
      </c>
      <c r="K38" s="444"/>
      <c r="L38" s="444"/>
      <c r="M38" s="444"/>
      <c r="N38" s="444"/>
      <c r="O38" s="444"/>
      <c r="P38" s="444"/>
      <c r="Q38" s="444"/>
      <c r="R38" s="444"/>
      <c r="S38" s="444"/>
      <c r="T38" s="444"/>
      <c r="U38" s="433"/>
      <c r="V38" s="425"/>
      <c r="W38" s="434"/>
      <c r="X38" s="434"/>
      <c r="Y38" s="406"/>
    </row>
    <row r="39" spans="1:25" ht="22.5" customHeight="1" thickTop="1" thickBot="1" x14ac:dyDescent="0.3">
      <c r="A39" s="434" t="s">
        <v>67</v>
      </c>
      <c r="B39" s="434" t="s">
        <v>71</v>
      </c>
      <c r="C39" s="426" t="s">
        <v>71</v>
      </c>
      <c r="D39" s="426" t="s">
        <v>71</v>
      </c>
      <c r="E39" s="434" t="s">
        <v>71</v>
      </c>
      <c r="F39" s="434" t="s">
        <v>71</v>
      </c>
      <c r="G39" s="425" t="s">
        <v>85</v>
      </c>
      <c r="H39" s="426"/>
      <c r="I39" s="426"/>
      <c r="J39" s="427" t="s">
        <v>118</v>
      </c>
      <c r="K39" s="443"/>
      <c r="L39" s="443"/>
      <c r="M39" s="443"/>
      <c r="N39" s="443"/>
      <c r="O39" s="443"/>
      <c r="P39" s="443"/>
      <c r="Q39" s="443"/>
      <c r="R39" s="443"/>
      <c r="S39" s="443"/>
      <c r="T39" s="443"/>
      <c r="U39" s="429"/>
      <c r="V39" s="425"/>
      <c r="W39" s="434"/>
      <c r="X39" s="434"/>
      <c r="Y39" s="406"/>
    </row>
    <row r="40" spans="1:25" ht="22.5" customHeight="1" thickTop="1" thickBot="1" x14ac:dyDescent="0.3">
      <c r="A40" s="434" t="s">
        <v>67</v>
      </c>
      <c r="B40" s="434" t="s">
        <v>71</v>
      </c>
      <c r="C40" s="426" t="s">
        <v>71</v>
      </c>
      <c r="D40" s="426" t="s">
        <v>71</v>
      </c>
      <c r="E40" s="434" t="s">
        <v>71</v>
      </c>
      <c r="F40" s="434" t="s">
        <v>71</v>
      </c>
      <c r="G40" s="426" t="s">
        <v>85</v>
      </c>
      <c r="H40" s="426" t="s">
        <v>71</v>
      </c>
      <c r="I40" s="426"/>
      <c r="J40" s="431" t="s">
        <v>119</v>
      </c>
      <c r="K40" s="444"/>
      <c r="L40" s="444"/>
      <c r="M40" s="444"/>
      <c r="N40" s="444"/>
      <c r="O40" s="444"/>
      <c r="P40" s="444"/>
      <c r="Q40" s="444"/>
      <c r="R40" s="444"/>
      <c r="S40" s="444"/>
      <c r="T40" s="444"/>
      <c r="U40" s="433"/>
      <c r="V40" s="425"/>
      <c r="W40" s="434"/>
      <c r="X40" s="434"/>
      <c r="Y40" s="406"/>
    </row>
    <row r="41" spans="1:25" ht="22.5" customHeight="1" thickTop="1" thickBot="1" x14ac:dyDescent="0.3">
      <c r="A41" s="434" t="s">
        <v>67</v>
      </c>
      <c r="B41" s="434" t="s">
        <v>71</v>
      </c>
      <c r="C41" s="426" t="s">
        <v>71</v>
      </c>
      <c r="D41" s="426" t="s">
        <v>71</v>
      </c>
      <c r="E41" s="434" t="s">
        <v>71</v>
      </c>
      <c r="F41" s="434" t="s">
        <v>71</v>
      </c>
      <c r="G41" s="426" t="s">
        <v>85</v>
      </c>
      <c r="H41" s="426" t="s">
        <v>85</v>
      </c>
      <c r="I41" s="426"/>
      <c r="J41" s="431" t="s">
        <v>120</v>
      </c>
      <c r="K41" s="444"/>
      <c r="L41" s="444"/>
      <c r="M41" s="444"/>
      <c r="N41" s="444"/>
      <c r="O41" s="444"/>
      <c r="P41" s="444"/>
      <c r="Q41" s="444"/>
      <c r="R41" s="444"/>
      <c r="S41" s="444"/>
      <c r="T41" s="444"/>
      <c r="U41" s="433"/>
      <c r="V41" s="425"/>
      <c r="W41" s="434"/>
      <c r="X41" s="434"/>
      <c r="Y41" s="406"/>
    </row>
    <row r="42" spans="1:25" ht="22.5" customHeight="1" thickTop="1" thickBot="1" x14ac:dyDescent="0.3">
      <c r="A42" s="434" t="s">
        <v>67</v>
      </c>
      <c r="B42" s="434" t="s">
        <v>71</v>
      </c>
      <c r="C42" s="426" t="s">
        <v>71</v>
      </c>
      <c r="D42" s="426" t="s">
        <v>71</v>
      </c>
      <c r="E42" s="434" t="s">
        <v>71</v>
      </c>
      <c r="F42" s="434" t="s">
        <v>71</v>
      </c>
      <c r="G42" s="426" t="s">
        <v>85</v>
      </c>
      <c r="H42" s="426" t="s">
        <v>87</v>
      </c>
      <c r="I42" s="426"/>
      <c r="J42" s="431" t="s">
        <v>121</v>
      </c>
      <c r="K42" s="444"/>
      <c r="L42" s="444"/>
      <c r="M42" s="444"/>
      <c r="N42" s="444"/>
      <c r="O42" s="444"/>
      <c r="P42" s="444"/>
      <c r="Q42" s="444"/>
      <c r="R42" s="444"/>
      <c r="S42" s="444"/>
      <c r="T42" s="444"/>
      <c r="U42" s="433"/>
      <c r="V42" s="425"/>
      <c r="W42" s="434"/>
      <c r="X42" s="434"/>
      <c r="Y42" s="406"/>
    </row>
    <row r="43" spans="1:25" ht="22.5" customHeight="1" thickTop="1" thickBot="1" x14ac:dyDescent="0.3">
      <c r="A43" s="434" t="s">
        <v>67</v>
      </c>
      <c r="B43" s="434" t="s">
        <v>71</v>
      </c>
      <c r="C43" s="426" t="s">
        <v>71</v>
      </c>
      <c r="D43" s="426" t="s">
        <v>71</v>
      </c>
      <c r="E43" s="434" t="s">
        <v>71</v>
      </c>
      <c r="F43" s="434" t="s">
        <v>71</v>
      </c>
      <c r="G43" s="426" t="s">
        <v>85</v>
      </c>
      <c r="H43" s="426" t="s">
        <v>89</v>
      </c>
      <c r="I43" s="426"/>
      <c r="J43" s="431" t="s">
        <v>122</v>
      </c>
      <c r="K43" s="444"/>
      <c r="L43" s="444"/>
      <c r="M43" s="444"/>
      <c r="N43" s="444"/>
      <c r="O43" s="444"/>
      <c r="P43" s="444"/>
      <c r="Q43" s="444"/>
      <c r="R43" s="444"/>
      <c r="S43" s="444"/>
      <c r="T43" s="444"/>
      <c r="U43" s="433"/>
      <c r="V43" s="425"/>
      <c r="W43" s="434"/>
      <c r="X43" s="434"/>
      <c r="Y43" s="406"/>
    </row>
    <row r="44" spans="1:25" ht="22.5" customHeight="1" thickTop="1" thickBot="1" x14ac:dyDescent="0.3">
      <c r="A44" s="434" t="s">
        <v>67</v>
      </c>
      <c r="B44" s="434" t="s">
        <v>71</v>
      </c>
      <c r="C44" s="426" t="s">
        <v>71</v>
      </c>
      <c r="D44" s="426" t="s">
        <v>71</v>
      </c>
      <c r="E44" s="434" t="s">
        <v>71</v>
      </c>
      <c r="F44" s="434" t="s">
        <v>71</v>
      </c>
      <c r="G44" s="426" t="s">
        <v>85</v>
      </c>
      <c r="H44" s="426" t="s">
        <v>91</v>
      </c>
      <c r="I44" s="426"/>
      <c r="J44" s="431" t="s">
        <v>123</v>
      </c>
      <c r="K44" s="444"/>
      <c r="L44" s="444"/>
      <c r="M44" s="444"/>
      <c r="N44" s="444"/>
      <c r="O44" s="444"/>
      <c r="P44" s="444"/>
      <c r="Q44" s="444"/>
      <c r="R44" s="444"/>
      <c r="S44" s="444"/>
      <c r="T44" s="444"/>
      <c r="U44" s="433"/>
      <c r="V44" s="425"/>
      <c r="W44" s="434"/>
      <c r="X44" s="434"/>
      <c r="Y44" s="406"/>
    </row>
    <row r="45" spans="1:25" ht="22.5" customHeight="1" thickTop="1" thickBot="1" x14ac:dyDescent="0.3">
      <c r="A45" s="434" t="s">
        <v>67</v>
      </c>
      <c r="B45" s="434" t="s">
        <v>71</v>
      </c>
      <c r="C45" s="426" t="s">
        <v>71</v>
      </c>
      <c r="D45" s="426" t="s">
        <v>71</v>
      </c>
      <c r="E45" s="434" t="s">
        <v>71</v>
      </c>
      <c r="F45" s="434" t="s">
        <v>71</v>
      </c>
      <c r="G45" s="426" t="s">
        <v>85</v>
      </c>
      <c r="H45" s="426" t="s">
        <v>93</v>
      </c>
      <c r="I45" s="426"/>
      <c r="J45" s="431" t="s">
        <v>124</v>
      </c>
      <c r="K45" s="444"/>
      <c r="L45" s="444"/>
      <c r="M45" s="444"/>
      <c r="N45" s="444"/>
      <c r="O45" s="444"/>
      <c r="P45" s="444"/>
      <c r="Q45" s="444"/>
      <c r="R45" s="444"/>
      <c r="S45" s="444"/>
      <c r="T45" s="444"/>
      <c r="U45" s="433"/>
      <c r="V45" s="425"/>
      <c r="W45" s="434"/>
      <c r="X45" s="434"/>
      <c r="Y45" s="406"/>
    </row>
    <row r="46" spans="1:25" ht="22.5" customHeight="1" thickTop="1" thickBot="1" x14ac:dyDescent="0.3">
      <c r="A46" s="434" t="s">
        <v>67</v>
      </c>
      <c r="B46" s="434" t="s">
        <v>71</v>
      </c>
      <c r="C46" s="426" t="s">
        <v>71</v>
      </c>
      <c r="D46" s="426" t="s">
        <v>71</v>
      </c>
      <c r="E46" s="434" t="s">
        <v>71</v>
      </c>
      <c r="F46" s="434" t="s">
        <v>71</v>
      </c>
      <c r="G46" s="426" t="s">
        <v>85</v>
      </c>
      <c r="H46" s="426" t="s">
        <v>95</v>
      </c>
      <c r="I46" s="426"/>
      <c r="J46" s="431" t="s">
        <v>125</v>
      </c>
      <c r="K46" s="444"/>
      <c r="L46" s="444"/>
      <c r="M46" s="444"/>
      <c r="N46" s="444"/>
      <c r="O46" s="444"/>
      <c r="P46" s="444"/>
      <c r="Q46" s="444"/>
      <c r="R46" s="444"/>
      <c r="S46" s="444"/>
      <c r="T46" s="444"/>
      <c r="U46" s="433"/>
      <c r="V46" s="425"/>
      <c r="W46" s="434"/>
      <c r="X46" s="434"/>
      <c r="Y46" s="406"/>
    </row>
    <row r="47" spans="1:25" ht="22.5" customHeight="1" thickTop="1" thickBot="1" x14ac:dyDescent="0.3">
      <c r="A47" s="434" t="s">
        <v>67</v>
      </c>
      <c r="B47" s="434" t="s">
        <v>71</v>
      </c>
      <c r="C47" s="426" t="s">
        <v>71</v>
      </c>
      <c r="D47" s="426" t="s">
        <v>71</v>
      </c>
      <c r="E47" s="434" t="s">
        <v>71</v>
      </c>
      <c r="F47" s="434" t="s">
        <v>71</v>
      </c>
      <c r="G47" s="426" t="s">
        <v>85</v>
      </c>
      <c r="H47" s="426" t="s">
        <v>97</v>
      </c>
      <c r="I47" s="426"/>
      <c r="J47" s="431" t="s">
        <v>122</v>
      </c>
      <c r="K47" s="444"/>
      <c r="L47" s="444"/>
      <c r="M47" s="444"/>
      <c r="N47" s="444"/>
      <c r="O47" s="444"/>
      <c r="P47" s="444"/>
      <c r="Q47" s="444"/>
      <c r="R47" s="444"/>
      <c r="S47" s="444"/>
      <c r="T47" s="444"/>
      <c r="U47" s="433"/>
      <c r="V47" s="425"/>
      <c r="W47" s="434"/>
      <c r="X47" s="434"/>
      <c r="Y47" s="406"/>
    </row>
    <row r="48" spans="1:25" ht="22.5" customHeight="1" thickTop="1" thickBot="1" x14ac:dyDescent="0.3">
      <c r="A48" s="434" t="s">
        <v>67</v>
      </c>
      <c r="B48" s="434" t="s">
        <v>71</v>
      </c>
      <c r="C48" s="426" t="s">
        <v>71</v>
      </c>
      <c r="D48" s="426" t="s">
        <v>71</v>
      </c>
      <c r="E48" s="434" t="s">
        <v>71</v>
      </c>
      <c r="F48" s="434" t="s">
        <v>71</v>
      </c>
      <c r="G48" s="425" t="s">
        <v>87</v>
      </c>
      <c r="H48" s="426"/>
      <c r="I48" s="426"/>
      <c r="J48" s="427" t="s">
        <v>126</v>
      </c>
      <c r="K48" s="443"/>
      <c r="L48" s="443"/>
      <c r="M48" s="443"/>
      <c r="N48" s="443"/>
      <c r="O48" s="443"/>
      <c r="P48" s="443"/>
      <c r="Q48" s="443"/>
      <c r="R48" s="443"/>
      <c r="S48" s="443"/>
      <c r="T48" s="443"/>
      <c r="U48" s="429"/>
      <c r="V48" s="425"/>
      <c r="W48" s="434" t="s">
        <v>99</v>
      </c>
      <c r="X48" s="434" t="s">
        <v>100</v>
      </c>
      <c r="Y48" s="406" t="s">
        <v>70</v>
      </c>
    </row>
    <row r="49" spans="1:25" ht="22.5" customHeight="1" thickTop="1" thickBot="1" x14ac:dyDescent="0.3">
      <c r="A49" s="434" t="s">
        <v>67</v>
      </c>
      <c r="B49" s="434" t="s">
        <v>71</v>
      </c>
      <c r="C49" s="426" t="s">
        <v>71</v>
      </c>
      <c r="D49" s="426" t="s">
        <v>71</v>
      </c>
      <c r="E49" s="434" t="s">
        <v>71</v>
      </c>
      <c r="F49" s="434" t="s">
        <v>71</v>
      </c>
      <c r="G49" s="426" t="s">
        <v>87</v>
      </c>
      <c r="H49" s="426" t="s">
        <v>71</v>
      </c>
      <c r="I49" s="426"/>
      <c r="J49" s="431" t="s">
        <v>127</v>
      </c>
      <c r="K49" s="444"/>
      <c r="L49" s="444"/>
      <c r="M49" s="444"/>
      <c r="N49" s="444"/>
      <c r="O49" s="444"/>
      <c r="P49" s="444"/>
      <c r="Q49" s="444"/>
      <c r="R49" s="444"/>
      <c r="S49" s="444"/>
      <c r="T49" s="444"/>
      <c r="U49" s="433"/>
      <c r="V49" s="425"/>
      <c r="W49" s="434"/>
      <c r="X49" s="434"/>
      <c r="Y49" s="406" t="s">
        <v>70</v>
      </c>
    </row>
    <row r="50" spans="1:25" ht="22.5" customHeight="1" thickTop="1" thickBot="1" x14ac:dyDescent="0.3">
      <c r="A50" s="434" t="s">
        <v>67</v>
      </c>
      <c r="B50" s="434" t="s">
        <v>71</v>
      </c>
      <c r="C50" s="426" t="s">
        <v>71</v>
      </c>
      <c r="D50" s="426" t="s">
        <v>71</v>
      </c>
      <c r="E50" s="434" t="s">
        <v>71</v>
      </c>
      <c r="F50" s="434" t="s">
        <v>71</v>
      </c>
      <c r="G50" s="426" t="s">
        <v>87</v>
      </c>
      <c r="H50" s="426" t="s">
        <v>85</v>
      </c>
      <c r="I50" s="426"/>
      <c r="J50" s="431" t="s">
        <v>128</v>
      </c>
      <c r="K50" s="444"/>
      <c r="L50" s="444"/>
      <c r="M50" s="444"/>
      <c r="N50" s="444"/>
      <c r="O50" s="444"/>
      <c r="P50" s="444"/>
      <c r="Q50" s="444"/>
      <c r="R50" s="444"/>
      <c r="S50" s="444"/>
      <c r="T50" s="444"/>
      <c r="U50" s="433"/>
      <c r="V50" s="425"/>
      <c r="W50" s="434"/>
      <c r="X50" s="434"/>
      <c r="Y50" s="406" t="s">
        <v>70</v>
      </c>
    </row>
    <row r="51" spans="1:25" ht="22.5" customHeight="1" thickTop="1" thickBot="1" x14ac:dyDescent="0.3">
      <c r="A51" s="434" t="s">
        <v>67</v>
      </c>
      <c r="B51" s="434" t="s">
        <v>71</v>
      </c>
      <c r="C51" s="426" t="s">
        <v>71</v>
      </c>
      <c r="D51" s="426" t="s">
        <v>71</v>
      </c>
      <c r="E51" s="434" t="s">
        <v>71</v>
      </c>
      <c r="F51" s="434" t="s">
        <v>71</v>
      </c>
      <c r="G51" s="426" t="s">
        <v>87</v>
      </c>
      <c r="H51" s="426" t="s">
        <v>87</v>
      </c>
      <c r="I51" s="426"/>
      <c r="J51" s="431" t="s">
        <v>129</v>
      </c>
      <c r="K51" s="444"/>
      <c r="L51" s="444"/>
      <c r="M51" s="444"/>
      <c r="N51" s="444"/>
      <c r="O51" s="444"/>
      <c r="P51" s="444"/>
      <c r="Q51" s="444"/>
      <c r="R51" s="444"/>
      <c r="S51" s="444"/>
      <c r="T51" s="444"/>
      <c r="U51" s="433"/>
      <c r="V51" s="425"/>
      <c r="W51" s="434"/>
      <c r="X51" s="434"/>
      <c r="Y51" s="406"/>
    </row>
    <row r="52" spans="1:25" ht="22.5" customHeight="1" thickTop="1" thickBot="1" x14ac:dyDescent="0.3">
      <c r="A52" s="434" t="s">
        <v>67</v>
      </c>
      <c r="B52" s="434" t="s">
        <v>71</v>
      </c>
      <c r="C52" s="426" t="s">
        <v>71</v>
      </c>
      <c r="D52" s="426" t="s">
        <v>71</v>
      </c>
      <c r="E52" s="434" t="s">
        <v>71</v>
      </c>
      <c r="F52" s="434" t="s">
        <v>71</v>
      </c>
      <c r="G52" s="426" t="s">
        <v>87</v>
      </c>
      <c r="H52" s="426" t="s">
        <v>89</v>
      </c>
      <c r="I52" s="426"/>
      <c r="J52" s="431" t="s">
        <v>130</v>
      </c>
      <c r="K52" s="444"/>
      <c r="L52" s="444"/>
      <c r="M52" s="444"/>
      <c r="N52" s="444"/>
      <c r="O52" s="444"/>
      <c r="P52" s="444"/>
      <c r="Q52" s="444"/>
      <c r="R52" s="444"/>
      <c r="S52" s="444"/>
      <c r="T52" s="444"/>
      <c r="U52" s="433"/>
      <c r="V52" s="425"/>
      <c r="W52" s="434"/>
      <c r="X52" s="434"/>
      <c r="Y52" s="406"/>
    </row>
    <row r="53" spans="1:25" ht="22.5" customHeight="1" thickTop="1" thickBot="1" x14ac:dyDescent="0.3">
      <c r="A53" s="434" t="s">
        <v>67</v>
      </c>
      <c r="B53" s="434" t="s">
        <v>71</v>
      </c>
      <c r="C53" s="426" t="s">
        <v>71</v>
      </c>
      <c r="D53" s="426" t="s">
        <v>71</v>
      </c>
      <c r="E53" s="434" t="s">
        <v>71</v>
      </c>
      <c r="F53" s="434" t="s">
        <v>71</v>
      </c>
      <c r="G53" s="426" t="s">
        <v>87</v>
      </c>
      <c r="H53" s="426" t="s">
        <v>91</v>
      </c>
      <c r="I53" s="426"/>
      <c r="J53" s="431" t="s">
        <v>131</v>
      </c>
      <c r="K53" s="444"/>
      <c r="L53" s="444"/>
      <c r="M53" s="444"/>
      <c r="N53" s="444"/>
      <c r="O53" s="444"/>
      <c r="P53" s="444"/>
      <c r="Q53" s="444"/>
      <c r="R53" s="444"/>
      <c r="S53" s="444"/>
      <c r="T53" s="444"/>
      <c r="U53" s="433"/>
      <c r="V53" s="425"/>
      <c r="W53" s="434"/>
      <c r="X53" s="434"/>
      <c r="Y53" s="406"/>
    </row>
    <row r="54" spans="1:25" ht="22.5" customHeight="1" thickTop="1" thickBot="1" x14ac:dyDescent="0.3">
      <c r="A54" s="434" t="s">
        <v>67</v>
      </c>
      <c r="B54" s="434" t="s">
        <v>71</v>
      </c>
      <c r="C54" s="426" t="s">
        <v>71</v>
      </c>
      <c r="D54" s="426" t="s">
        <v>71</v>
      </c>
      <c r="E54" s="434" t="s">
        <v>71</v>
      </c>
      <c r="F54" s="434" t="s">
        <v>71</v>
      </c>
      <c r="G54" s="426" t="s">
        <v>87</v>
      </c>
      <c r="H54" s="426" t="s">
        <v>93</v>
      </c>
      <c r="I54" s="426"/>
      <c r="J54" s="431" t="s">
        <v>132</v>
      </c>
      <c r="K54" s="444"/>
      <c r="L54" s="444"/>
      <c r="M54" s="444"/>
      <c r="N54" s="444"/>
      <c r="O54" s="444"/>
      <c r="P54" s="444"/>
      <c r="Q54" s="444"/>
      <c r="R54" s="444"/>
      <c r="S54" s="444"/>
      <c r="T54" s="444"/>
      <c r="U54" s="433"/>
      <c r="V54" s="425"/>
      <c r="W54" s="434"/>
      <c r="X54" s="434"/>
      <c r="Y54" s="406"/>
    </row>
    <row r="55" spans="1:25" ht="22.5" customHeight="1" thickTop="1" thickBot="1" x14ac:dyDescent="0.3">
      <c r="A55" s="434" t="s">
        <v>67</v>
      </c>
      <c r="B55" s="434" t="s">
        <v>71</v>
      </c>
      <c r="C55" s="426" t="s">
        <v>71</v>
      </c>
      <c r="D55" s="426" t="s">
        <v>71</v>
      </c>
      <c r="E55" s="434" t="s">
        <v>71</v>
      </c>
      <c r="F55" s="434" t="s">
        <v>71</v>
      </c>
      <c r="G55" s="426" t="s">
        <v>87</v>
      </c>
      <c r="H55" s="426" t="s">
        <v>95</v>
      </c>
      <c r="I55" s="426"/>
      <c r="J55" s="431" t="s">
        <v>133</v>
      </c>
      <c r="K55" s="444"/>
      <c r="L55" s="444"/>
      <c r="M55" s="444"/>
      <c r="N55" s="444"/>
      <c r="O55" s="444"/>
      <c r="P55" s="444"/>
      <c r="Q55" s="444"/>
      <c r="R55" s="444"/>
      <c r="S55" s="444"/>
      <c r="T55" s="444"/>
      <c r="U55" s="433"/>
      <c r="V55" s="425"/>
      <c r="W55" s="434"/>
      <c r="X55" s="434"/>
      <c r="Y55" s="406"/>
    </row>
    <row r="56" spans="1:25" ht="22.5" customHeight="1" thickTop="1" thickBot="1" x14ac:dyDescent="0.3">
      <c r="A56" s="434" t="s">
        <v>67</v>
      </c>
      <c r="B56" s="434" t="s">
        <v>71</v>
      </c>
      <c r="C56" s="426" t="s">
        <v>71</v>
      </c>
      <c r="D56" s="426" t="s">
        <v>71</v>
      </c>
      <c r="E56" s="434" t="s">
        <v>71</v>
      </c>
      <c r="F56" s="434" t="s">
        <v>71</v>
      </c>
      <c r="G56" s="426" t="s">
        <v>87</v>
      </c>
      <c r="H56" s="426" t="s">
        <v>97</v>
      </c>
      <c r="I56" s="426"/>
      <c r="J56" s="431" t="s">
        <v>130</v>
      </c>
      <c r="K56" s="444"/>
      <c r="L56" s="444"/>
      <c r="M56" s="444"/>
      <c r="N56" s="444"/>
      <c r="O56" s="444"/>
      <c r="P56" s="444"/>
      <c r="Q56" s="444"/>
      <c r="R56" s="444"/>
      <c r="S56" s="444"/>
      <c r="T56" s="444"/>
      <c r="U56" s="433"/>
      <c r="V56" s="425"/>
      <c r="W56" s="434"/>
      <c r="X56" s="434"/>
      <c r="Y56" s="406"/>
    </row>
    <row r="57" spans="1:25" ht="22.5" customHeight="1" thickTop="1" thickBot="1" x14ac:dyDescent="0.3">
      <c r="A57" s="434" t="s">
        <v>67</v>
      </c>
      <c r="B57" s="434" t="s">
        <v>71</v>
      </c>
      <c r="C57" s="426" t="s">
        <v>71</v>
      </c>
      <c r="D57" s="426" t="s">
        <v>71</v>
      </c>
      <c r="E57" s="434" t="s">
        <v>71</v>
      </c>
      <c r="F57" s="434" t="s">
        <v>71</v>
      </c>
      <c r="G57" s="425" t="s">
        <v>89</v>
      </c>
      <c r="H57" s="426"/>
      <c r="I57" s="426"/>
      <c r="J57" s="427" t="s">
        <v>134</v>
      </c>
      <c r="K57" s="443"/>
      <c r="L57" s="443"/>
      <c r="M57" s="443"/>
      <c r="N57" s="443"/>
      <c r="O57" s="443"/>
      <c r="P57" s="443"/>
      <c r="Q57" s="443"/>
      <c r="R57" s="443"/>
      <c r="S57" s="443"/>
      <c r="T57" s="443"/>
      <c r="U57" s="429"/>
      <c r="V57" s="425"/>
      <c r="W57" s="434"/>
      <c r="X57" s="434"/>
      <c r="Y57" s="406"/>
    </row>
    <row r="58" spans="1:25" ht="22.5" customHeight="1" thickTop="1" thickBot="1" x14ac:dyDescent="0.3">
      <c r="A58" s="434" t="s">
        <v>67</v>
      </c>
      <c r="B58" s="434" t="s">
        <v>71</v>
      </c>
      <c r="C58" s="426" t="s">
        <v>71</v>
      </c>
      <c r="D58" s="426" t="s">
        <v>71</v>
      </c>
      <c r="E58" s="434" t="s">
        <v>71</v>
      </c>
      <c r="F58" s="434" t="s">
        <v>71</v>
      </c>
      <c r="G58" s="426" t="s">
        <v>89</v>
      </c>
      <c r="H58" s="426" t="s">
        <v>71</v>
      </c>
      <c r="I58" s="426"/>
      <c r="J58" s="431" t="s">
        <v>135</v>
      </c>
      <c r="K58" s="444"/>
      <c r="L58" s="444"/>
      <c r="M58" s="444"/>
      <c r="N58" s="444"/>
      <c r="O58" s="444"/>
      <c r="P58" s="444"/>
      <c r="Q58" s="444"/>
      <c r="R58" s="444"/>
      <c r="S58" s="444"/>
      <c r="T58" s="444"/>
      <c r="U58" s="433"/>
      <c r="V58" s="425"/>
      <c r="W58" s="434"/>
      <c r="X58" s="434"/>
      <c r="Y58" s="406"/>
    </row>
    <row r="59" spans="1:25" ht="22.5" customHeight="1" thickTop="1" thickBot="1" x14ac:dyDescent="0.3">
      <c r="A59" s="434" t="s">
        <v>67</v>
      </c>
      <c r="B59" s="434" t="s">
        <v>71</v>
      </c>
      <c r="C59" s="426" t="s">
        <v>71</v>
      </c>
      <c r="D59" s="426" t="s">
        <v>71</v>
      </c>
      <c r="E59" s="434" t="s">
        <v>71</v>
      </c>
      <c r="F59" s="434" t="s">
        <v>71</v>
      </c>
      <c r="G59" s="426" t="s">
        <v>89</v>
      </c>
      <c r="H59" s="426" t="s">
        <v>85</v>
      </c>
      <c r="I59" s="426"/>
      <c r="J59" s="431" t="s">
        <v>136</v>
      </c>
      <c r="K59" s="444"/>
      <c r="L59" s="444"/>
      <c r="M59" s="444"/>
      <c r="N59" s="444"/>
      <c r="O59" s="444"/>
      <c r="P59" s="444"/>
      <c r="Q59" s="444"/>
      <c r="R59" s="444"/>
      <c r="S59" s="444"/>
      <c r="T59" s="444"/>
      <c r="U59" s="433"/>
      <c r="V59" s="425"/>
      <c r="W59" s="434"/>
      <c r="X59" s="434"/>
      <c r="Y59" s="406"/>
    </row>
    <row r="60" spans="1:25" ht="22.5" customHeight="1" thickTop="1" thickBot="1" x14ac:dyDescent="0.3">
      <c r="A60" s="434" t="s">
        <v>67</v>
      </c>
      <c r="B60" s="434" t="s">
        <v>71</v>
      </c>
      <c r="C60" s="426" t="s">
        <v>71</v>
      </c>
      <c r="D60" s="426" t="s">
        <v>71</v>
      </c>
      <c r="E60" s="434" t="s">
        <v>71</v>
      </c>
      <c r="F60" s="434" t="s">
        <v>71</v>
      </c>
      <c r="G60" s="426" t="s">
        <v>89</v>
      </c>
      <c r="H60" s="426" t="s">
        <v>87</v>
      </c>
      <c r="I60" s="426"/>
      <c r="J60" s="431" t="s">
        <v>137</v>
      </c>
      <c r="K60" s="444"/>
      <c r="L60" s="444"/>
      <c r="M60" s="444"/>
      <c r="N60" s="444"/>
      <c r="O60" s="444"/>
      <c r="P60" s="444"/>
      <c r="Q60" s="444"/>
      <c r="R60" s="444"/>
      <c r="S60" s="444"/>
      <c r="T60" s="444"/>
      <c r="U60" s="433"/>
      <c r="V60" s="425"/>
      <c r="W60" s="434"/>
      <c r="X60" s="434"/>
      <c r="Y60" s="406"/>
    </row>
    <row r="61" spans="1:25" ht="22.5" customHeight="1" thickTop="1" thickBot="1" x14ac:dyDescent="0.3">
      <c r="A61" s="434" t="s">
        <v>67</v>
      </c>
      <c r="B61" s="434" t="s">
        <v>71</v>
      </c>
      <c r="C61" s="426" t="s">
        <v>71</v>
      </c>
      <c r="D61" s="426" t="s">
        <v>71</v>
      </c>
      <c r="E61" s="434" t="s">
        <v>71</v>
      </c>
      <c r="F61" s="434" t="s">
        <v>71</v>
      </c>
      <c r="G61" s="426" t="s">
        <v>89</v>
      </c>
      <c r="H61" s="426" t="s">
        <v>89</v>
      </c>
      <c r="I61" s="426"/>
      <c r="J61" s="431" t="s">
        <v>138</v>
      </c>
      <c r="K61" s="444"/>
      <c r="L61" s="444"/>
      <c r="M61" s="444"/>
      <c r="N61" s="444"/>
      <c r="O61" s="444"/>
      <c r="P61" s="444"/>
      <c r="Q61" s="444"/>
      <c r="R61" s="444"/>
      <c r="S61" s="444"/>
      <c r="T61" s="444"/>
      <c r="U61" s="433"/>
      <c r="V61" s="425"/>
      <c r="W61" s="434"/>
      <c r="X61" s="434"/>
      <c r="Y61" s="406"/>
    </row>
    <row r="62" spans="1:25" ht="22.5" customHeight="1" thickTop="1" thickBot="1" x14ac:dyDescent="0.3">
      <c r="A62" s="434" t="s">
        <v>67</v>
      </c>
      <c r="B62" s="434" t="s">
        <v>71</v>
      </c>
      <c r="C62" s="426" t="s">
        <v>71</v>
      </c>
      <c r="D62" s="426" t="s">
        <v>71</v>
      </c>
      <c r="E62" s="434" t="s">
        <v>71</v>
      </c>
      <c r="F62" s="434" t="s">
        <v>71</v>
      </c>
      <c r="G62" s="426" t="s">
        <v>89</v>
      </c>
      <c r="H62" s="426" t="s">
        <v>91</v>
      </c>
      <c r="I62" s="426"/>
      <c r="J62" s="431" t="s">
        <v>139</v>
      </c>
      <c r="K62" s="444"/>
      <c r="L62" s="444"/>
      <c r="M62" s="444"/>
      <c r="N62" s="444"/>
      <c r="O62" s="444"/>
      <c r="P62" s="444"/>
      <c r="Q62" s="444"/>
      <c r="R62" s="444"/>
      <c r="S62" s="444"/>
      <c r="T62" s="444"/>
      <c r="U62" s="433"/>
      <c r="V62" s="425"/>
      <c r="W62" s="434"/>
      <c r="X62" s="434"/>
      <c r="Y62" s="406"/>
    </row>
    <row r="63" spans="1:25" ht="22.5" customHeight="1" thickTop="1" thickBot="1" x14ac:dyDescent="0.3">
      <c r="A63" s="434" t="s">
        <v>67</v>
      </c>
      <c r="B63" s="434" t="s">
        <v>71</v>
      </c>
      <c r="C63" s="426" t="s">
        <v>71</v>
      </c>
      <c r="D63" s="426" t="s">
        <v>71</v>
      </c>
      <c r="E63" s="434" t="s">
        <v>71</v>
      </c>
      <c r="F63" s="434" t="s">
        <v>71</v>
      </c>
      <c r="G63" s="426" t="s">
        <v>89</v>
      </c>
      <c r="H63" s="426" t="s">
        <v>93</v>
      </c>
      <c r="I63" s="426"/>
      <c r="J63" s="431" t="s">
        <v>140</v>
      </c>
      <c r="K63" s="444"/>
      <c r="L63" s="444"/>
      <c r="M63" s="444"/>
      <c r="N63" s="444"/>
      <c r="O63" s="444"/>
      <c r="P63" s="444"/>
      <c r="Q63" s="444"/>
      <c r="R63" s="444"/>
      <c r="S63" s="444"/>
      <c r="T63" s="444"/>
      <c r="U63" s="433"/>
      <c r="V63" s="425"/>
      <c r="W63" s="434"/>
      <c r="X63" s="434"/>
      <c r="Y63" s="406"/>
    </row>
    <row r="64" spans="1:25" ht="22.5" customHeight="1" thickTop="1" thickBot="1" x14ac:dyDescent="0.3">
      <c r="A64" s="434" t="s">
        <v>67</v>
      </c>
      <c r="B64" s="434" t="s">
        <v>71</v>
      </c>
      <c r="C64" s="426" t="s">
        <v>71</v>
      </c>
      <c r="D64" s="426" t="s">
        <v>71</v>
      </c>
      <c r="E64" s="434" t="s">
        <v>71</v>
      </c>
      <c r="F64" s="434" t="s">
        <v>71</v>
      </c>
      <c r="G64" s="426" t="s">
        <v>89</v>
      </c>
      <c r="H64" s="426" t="s">
        <v>95</v>
      </c>
      <c r="I64" s="426"/>
      <c r="J64" s="431" t="s">
        <v>141</v>
      </c>
      <c r="K64" s="444"/>
      <c r="L64" s="444"/>
      <c r="M64" s="444"/>
      <c r="N64" s="444"/>
      <c r="O64" s="444"/>
      <c r="P64" s="444"/>
      <c r="Q64" s="444"/>
      <c r="R64" s="444"/>
      <c r="S64" s="444"/>
      <c r="T64" s="444"/>
      <c r="U64" s="433"/>
      <c r="V64" s="425"/>
      <c r="W64" s="434"/>
      <c r="X64" s="434"/>
      <c r="Y64" s="406"/>
    </row>
    <row r="65" spans="1:25" ht="22.5" customHeight="1" thickTop="1" thickBot="1" x14ac:dyDescent="0.3">
      <c r="A65" s="434" t="s">
        <v>67</v>
      </c>
      <c r="B65" s="434" t="s">
        <v>71</v>
      </c>
      <c r="C65" s="426" t="s">
        <v>71</v>
      </c>
      <c r="D65" s="426" t="s">
        <v>71</v>
      </c>
      <c r="E65" s="434" t="s">
        <v>71</v>
      </c>
      <c r="F65" s="434" t="s">
        <v>71</v>
      </c>
      <c r="G65" s="426" t="s">
        <v>89</v>
      </c>
      <c r="H65" s="426" t="s">
        <v>97</v>
      </c>
      <c r="I65" s="426"/>
      <c r="J65" s="431" t="s">
        <v>138</v>
      </c>
      <c r="K65" s="444"/>
      <c r="L65" s="444"/>
      <c r="M65" s="444"/>
      <c r="N65" s="444"/>
      <c r="O65" s="444"/>
      <c r="P65" s="444"/>
      <c r="Q65" s="444"/>
      <c r="R65" s="444"/>
      <c r="S65" s="444"/>
      <c r="T65" s="444"/>
      <c r="U65" s="433"/>
      <c r="V65" s="425"/>
      <c r="W65" s="434"/>
      <c r="X65" s="434"/>
      <c r="Y65" s="406"/>
    </row>
    <row r="66" spans="1:25" ht="22.5" customHeight="1" thickTop="1" thickBot="1" x14ac:dyDescent="0.3">
      <c r="A66" s="413" t="s">
        <v>67</v>
      </c>
      <c r="B66" s="414" t="s">
        <v>71</v>
      </c>
      <c r="C66" s="414" t="s">
        <v>85</v>
      </c>
      <c r="D66" s="414"/>
      <c r="E66" s="414"/>
      <c r="F66" s="415"/>
      <c r="G66" s="415"/>
      <c r="H66" s="415"/>
      <c r="I66" s="415"/>
      <c r="J66" s="416" t="s">
        <v>142</v>
      </c>
      <c r="K66" s="417"/>
      <c r="L66" s="417"/>
      <c r="M66" s="417"/>
      <c r="N66" s="417"/>
      <c r="O66" s="417"/>
      <c r="P66" s="417"/>
      <c r="Q66" s="417"/>
      <c r="R66" s="417"/>
      <c r="S66" s="417"/>
      <c r="T66" s="417"/>
      <c r="U66" s="418"/>
      <c r="V66" s="413"/>
      <c r="W66" s="413" t="s">
        <v>143</v>
      </c>
      <c r="X66" s="413" t="s">
        <v>144</v>
      </c>
      <c r="Y66" s="406" t="s">
        <v>70</v>
      </c>
    </row>
    <row r="67" spans="1:25" ht="22.5" customHeight="1" thickTop="1" thickBot="1" x14ac:dyDescent="0.3">
      <c r="A67" s="419" t="s">
        <v>67</v>
      </c>
      <c r="B67" s="420" t="s">
        <v>71</v>
      </c>
      <c r="C67" s="420" t="s">
        <v>85</v>
      </c>
      <c r="D67" s="420" t="s">
        <v>71</v>
      </c>
      <c r="E67" s="420"/>
      <c r="F67" s="421"/>
      <c r="G67" s="421"/>
      <c r="H67" s="421"/>
      <c r="I67" s="421"/>
      <c r="J67" s="422" t="s">
        <v>145</v>
      </c>
      <c r="K67" s="423"/>
      <c r="L67" s="423"/>
      <c r="M67" s="423"/>
      <c r="N67" s="423"/>
      <c r="O67" s="423"/>
      <c r="P67" s="423"/>
      <c r="Q67" s="423"/>
      <c r="R67" s="423"/>
      <c r="S67" s="423"/>
      <c r="T67" s="423"/>
      <c r="U67" s="424"/>
      <c r="V67" s="420"/>
      <c r="W67" s="419" t="s">
        <v>146</v>
      </c>
      <c r="X67" s="419" t="s">
        <v>147</v>
      </c>
      <c r="Y67" s="406" t="s">
        <v>70</v>
      </c>
    </row>
    <row r="68" spans="1:25" ht="22.5" customHeight="1" thickTop="1" thickBot="1" x14ac:dyDescent="0.3">
      <c r="A68" s="430" t="s">
        <v>67</v>
      </c>
      <c r="B68" s="430" t="s">
        <v>71</v>
      </c>
      <c r="C68" s="425" t="s">
        <v>85</v>
      </c>
      <c r="D68" s="430" t="s">
        <v>71</v>
      </c>
      <c r="E68" s="425" t="s">
        <v>71</v>
      </c>
      <c r="F68" s="426"/>
      <c r="G68" s="426"/>
      <c r="H68" s="426"/>
      <c r="I68" s="426"/>
      <c r="J68" s="427" t="s">
        <v>148</v>
      </c>
      <c r="K68" s="428"/>
      <c r="L68" s="428"/>
      <c r="M68" s="428"/>
      <c r="N68" s="428"/>
      <c r="O68" s="428"/>
      <c r="P68" s="428"/>
      <c r="Q68" s="428"/>
      <c r="R68" s="428"/>
      <c r="S68" s="428"/>
      <c r="T68" s="428"/>
      <c r="U68" s="429"/>
      <c r="V68" s="434"/>
      <c r="W68" s="434" t="s">
        <v>149</v>
      </c>
      <c r="X68" s="434" t="s">
        <v>70</v>
      </c>
      <c r="Y68" s="406" t="s">
        <v>70</v>
      </c>
    </row>
    <row r="69" spans="1:25" ht="22.5" customHeight="1" thickTop="1" thickBot="1" x14ac:dyDescent="0.3">
      <c r="A69" s="434" t="s">
        <v>67</v>
      </c>
      <c r="B69" s="434" t="s">
        <v>71</v>
      </c>
      <c r="C69" s="426" t="s">
        <v>85</v>
      </c>
      <c r="D69" s="434" t="s">
        <v>71</v>
      </c>
      <c r="E69" s="434" t="s">
        <v>71</v>
      </c>
      <c r="F69" s="425" t="s">
        <v>71</v>
      </c>
      <c r="G69" s="426"/>
      <c r="H69" s="426"/>
      <c r="I69" s="426"/>
      <c r="J69" s="427" t="s">
        <v>150</v>
      </c>
      <c r="K69" s="428"/>
      <c r="L69" s="428"/>
      <c r="M69" s="428"/>
      <c r="N69" s="428"/>
      <c r="O69" s="428"/>
      <c r="P69" s="428"/>
      <c r="Q69" s="428"/>
      <c r="R69" s="428"/>
      <c r="S69" s="428"/>
      <c r="T69" s="428"/>
      <c r="U69" s="429"/>
      <c r="V69" s="434"/>
      <c r="W69" s="434" t="s">
        <v>151</v>
      </c>
      <c r="X69" s="434" t="s">
        <v>152</v>
      </c>
      <c r="Y69" s="406" t="s">
        <v>70</v>
      </c>
    </row>
    <row r="70" spans="1:25" ht="22.5" customHeight="1" thickTop="1" thickBot="1" x14ac:dyDescent="0.3">
      <c r="A70" s="434" t="s">
        <v>67</v>
      </c>
      <c r="B70" s="434" t="s">
        <v>71</v>
      </c>
      <c r="C70" s="426" t="s">
        <v>85</v>
      </c>
      <c r="D70" s="434" t="s">
        <v>71</v>
      </c>
      <c r="E70" s="434" t="s">
        <v>71</v>
      </c>
      <c r="F70" s="434" t="s">
        <v>71</v>
      </c>
      <c r="G70" s="425" t="s">
        <v>71</v>
      </c>
      <c r="H70" s="426"/>
      <c r="I70" s="426"/>
      <c r="J70" s="427" t="s">
        <v>153</v>
      </c>
      <c r="K70" s="428"/>
      <c r="L70" s="428"/>
      <c r="M70" s="428"/>
      <c r="N70" s="428"/>
      <c r="O70" s="428"/>
      <c r="P70" s="428"/>
      <c r="Q70" s="428"/>
      <c r="R70" s="428"/>
      <c r="S70" s="428"/>
      <c r="T70" s="428"/>
      <c r="U70" s="429"/>
      <c r="V70" s="434"/>
      <c r="W70" s="434"/>
      <c r="X70" s="434"/>
      <c r="Y70" s="406" t="s">
        <v>70</v>
      </c>
    </row>
    <row r="71" spans="1:25" ht="22.5" customHeight="1" thickTop="1" thickBot="1" x14ac:dyDescent="0.3">
      <c r="A71" s="434" t="s">
        <v>67</v>
      </c>
      <c r="B71" s="434" t="s">
        <v>71</v>
      </c>
      <c r="C71" s="426" t="s">
        <v>85</v>
      </c>
      <c r="D71" s="434" t="s">
        <v>71</v>
      </c>
      <c r="E71" s="434" t="s">
        <v>71</v>
      </c>
      <c r="F71" s="434" t="s">
        <v>71</v>
      </c>
      <c r="G71" s="434" t="s">
        <v>71</v>
      </c>
      <c r="H71" s="434" t="s">
        <v>71</v>
      </c>
      <c r="I71" s="426"/>
      <c r="J71" s="431" t="s">
        <v>154</v>
      </c>
      <c r="K71" s="432"/>
      <c r="L71" s="432"/>
      <c r="M71" s="432"/>
      <c r="N71" s="432"/>
      <c r="O71" s="432"/>
      <c r="P71" s="432"/>
      <c r="Q71" s="432"/>
      <c r="R71" s="432"/>
      <c r="S71" s="432"/>
      <c r="T71" s="432"/>
      <c r="U71" s="433"/>
      <c r="V71" s="434"/>
      <c r="W71" s="434"/>
      <c r="X71" s="434"/>
      <c r="Y71" s="406" t="s">
        <v>70</v>
      </c>
    </row>
    <row r="72" spans="1:25" ht="22.5" customHeight="1" thickTop="1" thickBot="1" x14ac:dyDescent="0.3">
      <c r="A72" s="434" t="s">
        <v>67</v>
      </c>
      <c r="B72" s="434" t="s">
        <v>71</v>
      </c>
      <c r="C72" s="426" t="s">
        <v>85</v>
      </c>
      <c r="D72" s="434" t="s">
        <v>71</v>
      </c>
      <c r="E72" s="434" t="s">
        <v>71</v>
      </c>
      <c r="F72" s="434" t="s">
        <v>71</v>
      </c>
      <c r="G72" s="434" t="s">
        <v>71</v>
      </c>
      <c r="H72" s="426" t="s">
        <v>85</v>
      </c>
      <c r="I72" s="426"/>
      <c r="J72" s="431" t="s">
        <v>155</v>
      </c>
      <c r="K72" s="432"/>
      <c r="L72" s="432"/>
      <c r="M72" s="432"/>
      <c r="N72" s="432"/>
      <c r="O72" s="432"/>
      <c r="P72" s="432"/>
      <c r="Q72" s="432"/>
      <c r="R72" s="432"/>
      <c r="S72" s="432"/>
      <c r="T72" s="432"/>
      <c r="U72" s="433"/>
      <c r="V72" s="434"/>
      <c r="W72" s="434"/>
      <c r="X72" s="434"/>
      <c r="Y72" s="406" t="s">
        <v>70</v>
      </c>
    </row>
    <row r="73" spans="1:25" ht="22.5" customHeight="1" thickTop="1" thickBot="1" x14ac:dyDescent="0.3">
      <c r="A73" s="434" t="s">
        <v>67</v>
      </c>
      <c r="B73" s="434" t="s">
        <v>71</v>
      </c>
      <c r="C73" s="426" t="s">
        <v>85</v>
      </c>
      <c r="D73" s="434" t="s">
        <v>71</v>
      </c>
      <c r="E73" s="434" t="s">
        <v>71</v>
      </c>
      <c r="F73" s="434" t="s">
        <v>71</v>
      </c>
      <c r="G73" s="425" t="s">
        <v>85</v>
      </c>
      <c r="H73" s="426"/>
      <c r="I73" s="426"/>
      <c r="J73" s="427" t="s">
        <v>156</v>
      </c>
      <c r="K73" s="428"/>
      <c r="L73" s="428"/>
      <c r="M73" s="428"/>
      <c r="N73" s="428"/>
      <c r="O73" s="428"/>
      <c r="P73" s="428"/>
      <c r="Q73" s="428"/>
      <c r="R73" s="428"/>
      <c r="S73" s="428"/>
      <c r="T73" s="428"/>
      <c r="U73" s="429"/>
      <c r="V73" s="434"/>
      <c r="W73" s="434"/>
      <c r="X73" s="434"/>
      <c r="Y73" s="406" t="s">
        <v>70</v>
      </c>
    </row>
    <row r="74" spans="1:25" ht="22.5" customHeight="1" thickTop="1" thickBot="1" x14ac:dyDescent="0.3">
      <c r="A74" s="434" t="s">
        <v>67</v>
      </c>
      <c r="B74" s="434" t="s">
        <v>71</v>
      </c>
      <c r="C74" s="426" t="s">
        <v>85</v>
      </c>
      <c r="D74" s="434" t="s">
        <v>71</v>
      </c>
      <c r="E74" s="434" t="s">
        <v>71</v>
      </c>
      <c r="F74" s="434" t="s">
        <v>71</v>
      </c>
      <c r="G74" s="426" t="s">
        <v>85</v>
      </c>
      <c r="H74" s="426" t="s">
        <v>71</v>
      </c>
      <c r="I74" s="426"/>
      <c r="J74" s="431" t="s">
        <v>157</v>
      </c>
      <c r="K74" s="432"/>
      <c r="L74" s="432"/>
      <c r="M74" s="432"/>
      <c r="N74" s="432"/>
      <c r="O74" s="432"/>
      <c r="P74" s="432"/>
      <c r="Q74" s="432"/>
      <c r="R74" s="432"/>
      <c r="S74" s="432"/>
      <c r="T74" s="432"/>
      <c r="U74" s="433"/>
      <c r="V74" s="434"/>
      <c r="W74" s="434"/>
      <c r="X74" s="434"/>
      <c r="Y74" s="406" t="s">
        <v>70</v>
      </c>
    </row>
    <row r="75" spans="1:25" ht="22.5" customHeight="1" thickTop="1" thickBot="1" x14ac:dyDescent="0.3">
      <c r="A75" s="434" t="s">
        <v>67</v>
      </c>
      <c r="B75" s="434" t="s">
        <v>71</v>
      </c>
      <c r="C75" s="426" t="s">
        <v>85</v>
      </c>
      <c r="D75" s="434" t="s">
        <v>71</v>
      </c>
      <c r="E75" s="434" t="s">
        <v>71</v>
      </c>
      <c r="F75" s="434" t="s">
        <v>71</v>
      </c>
      <c r="G75" s="426" t="s">
        <v>85</v>
      </c>
      <c r="H75" s="426" t="s">
        <v>85</v>
      </c>
      <c r="I75" s="426"/>
      <c r="J75" s="431" t="s">
        <v>158</v>
      </c>
      <c r="K75" s="432"/>
      <c r="L75" s="432"/>
      <c r="M75" s="432"/>
      <c r="N75" s="432"/>
      <c r="O75" s="432"/>
      <c r="P75" s="432"/>
      <c r="Q75" s="432"/>
      <c r="R75" s="432"/>
      <c r="S75" s="432"/>
      <c r="T75" s="432"/>
      <c r="U75" s="433"/>
      <c r="V75" s="434"/>
      <c r="W75" s="434"/>
      <c r="X75" s="434"/>
      <c r="Y75" s="406" t="s">
        <v>70</v>
      </c>
    </row>
    <row r="76" spans="1:25" ht="22.5" customHeight="1" thickTop="1" thickBot="1" x14ac:dyDescent="0.3">
      <c r="A76" s="434" t="s">
        <v>67</v>
      </c>
      <c r="B76" s="434" t="s">
        <v>71</v>
      </c>
      <c r="C76" s="426" t="s">
        <v>85</v>
      </c>
      <c r="D76" s="434" t="s">
        <v>71</v>
      </c>
      <c r="E76" s="434" t="s">
        <v>71</v>
      </c>
      <c r="F76" s="434" t="s">
        <v>71</v>
      </c>
      <c r="G76" s="425" t="s">
        <v>87</v>
      </c>
      <c r="H76" s="426"/>
      <c r="I76" s="426"/>
      <c r="J76" s="427" t="s">
        <v>159</v>
      </c>
      <c r="K76" s="428"/>
      <c r="L76" s="428"/>
      <c r="M76" s="428"/>
      <c r="N76" s="428"/>
      <c r="O76" s="428"/>
      <c r="P76" s="428"/>
      <c r="Q76" s="428"/>
      <c r="R76" s="428"/>
      <c r="S76" s="428"/>
      <c r="T76" s="428"/>
      <c r="U76" s="429"/>
      <c r="V76" s="434"/>
      <c r="W76" s="434"/>
      <c r="X76" s="434"/>
      <c r="Y76" s="406" t="s">
        <v>70</v>
      </c>
    </row>
    <row r="77" spans="1:25" ht="22.5" customHeight="1" thickTop="1" thickBot="1" x14ac:dyDescent="0.3">
      <c r="A77" s="434" t="s">
        <v>67</v>
      </c>
      <c r="B77" s="434" t="s">
        <v>71</v>
      </c>
      <c r="C77" s="426" t="s">
        <v>85</v>
      </c>
      <c r="D77" s="434" t="s">
        <v>71</v>
      </c>
      <c r="E77" s="434" t="s">
        <v>71</v>
      </c>
      <c r="F77" s="434" t="s">
        <v>71</v>
      </c>
      <c r="G77" s="426" t="s">
        <v>87</v>
      </c>
      <c r="H77" s="426" t="s">
        <v>71</v>
      </c>
      <c r="I77" s="426"/>
      <c r="J77" s="431" t="s">
        <v>160</v>
      </c>
      <c r="K77" s="432"/>
      <c r="L77" s="432"/>
      <c r="M77" s="432"/>
      <c r="N77" s="432"/>
      <c r="O77" s="432"/>
      <c r="P77" s="432"/>
      <c r="Q77" s="432"/>
      <c r="R77" s="432"/>
      <c r="S77" s="432"/>
      <c r="T77" s="432"/>
      <c r="U77" s="433"/>
      <c r="V77" s="434"/>
      <c r="W77" s="434"/>
      <c r="X77" s="434"/>
      <c r="Y77" s="406" t="s">
        <v>70</v>
      </c>
    </row>
    <row r="78" spans="1:25" ht="22.5" customHeight="1" thickTop="1" thickBot="1" x14ac:dyDescent="0.3">
      <c r="A78" s="434" t="s">
        <v>67</v>
      </c>
      <c r="B78" s="434" t="s">
        <v>71</v>
      </c>
      <c r="C78" s="426" t="s">
        <v>85</v>
      </c>
      <c r="D78" s="434" t="s">
        <v>71</v>
      </c>
      <c r="E78" s="434" t="s">
        <v>71</v>
      </c>
      <c r="F78" s="434" t="s">
        <v>71</v>
      </c>
      <c r="G78" s="426" t="s">
        <v>87</v>
      </c>
      <c r="H78" s="426" t="s">
        <v>85</v>
      </c>
      <c r="I78" s="426"/>
      <c r="J78" s="431" t="s">
        <v>161</v>
      </c>
      <c r="K78" s="432"/>
      <c r="L78" s="432"/>
      <c r="M78" s="432"/>
      <c r="N78" s="432"/>
      <c r="O78" s="432"/>
      <c r="P78" s="432"/>
      <c r="Q78" s="432"/>
      <c r="R78" s="432"/>
      <c r="S78" s="432"/>
      <c r="T78" s="432"/>
      <c r="U78" s="433"/>
      <c r="V78" s="434"/>
      <c r="W78" s="434"/>
      <c r="X78" s="434"/>
      <c r="Y78" s="406" t="s">
        <v>70</v>
      </c>
    </row>
    <row r="79" spans="1:25" ht="22.5" customHeight="1" thickTop="1" thickBot="1" x14ac:dyDescent="0.3">
      <c r="A79" s="434" t="s">
        <v>67</v>
      </c>
      <c r="B79" s="434" t="s">
        <v>71</v>
      </c>
      <c r="C79" s="426" t="s">
        <v>85</v>
      </c>
      <c r="D79" s="434" t="s">
        <v>71</v>
      </c>
      <c r="E79" s="434" t="s">
        <v>71</v>
      </c>
      <c r="F79" s="434" t="s">
        <v>71</v>
      </c>
      <c r="G79" s="425" t="s">
        <v>89</v>
      </c>
      <c r="H79" s="426"/>
      <c r="I79" s="426"/>
      <c r="J79" s="427" t="s">
        <v>162</v>
      </c>
      <c r="K79" s="435"/>
      <c r="L79" s="435"/>
      <c r="M79" s="435"/>
      <c r="N79" s="435"/>
      <c r="O79" s="435"/>
      <c r="P79" s="435"/>
      <c r="Q79" s="435"/>
      <c r="R79" s="435"/>
      <c r="S79" s="435"/>
      <c r="T79" s="435"/>
      <c r="U79" s="436"/>
      <c r="V79" s="434"/>
      <c r="W79" s="434"/>
      <c r="X79" s="434"/>
      <c r="Y79" s="406" t="s">
        <v>70</v>
      </c>
    </row>
    <row r="80" spans="1:25" ht="22.5" customHeight="1" thickTop="1" thickBot="1" x14ac:dyDescent="0.3">
      <c r="A80" s="434" t="s">
        <v>67</v>
      </c>
      <c r="B80" s="434" t="s">
        <v>71</v>
      </c>
      <c r="C80" s="426" t="s">
        <v>85</v>
      </c>
      <c r="D80" s="434" t="s">
        <v>71</v>
      </c>
      <c r="E80" s="434" t="s">
        <v>71</v>
      </c>
      <c r="F80" s="434" t="s">
        <v>71</v>
      </c>
      <c r="G80" s="426" t="s">
        <v>89</v>
      </c>
      <c r="H80" s="426" t="s">
        <v>71</v>
      </c>
      <c r="I80" s="426"/>
      <c r="J80" s="431" t="s">
        <v>163</v>
      </c>
      <c r="K80" s="437"/>
      <c r="L80" s="437"/>
      <c r="M80" s="437"/>
      <c r="N80" s="432"/>
      <c r="O80" s="437"/>
      <c r="P80" s="437"/>
      <c r="Q80" s="437"/>
      <c r="R80" s="437"/>
      <c r="S80" s="432"/>
      <c r="T80" s="437"/>
      <c r="U80" s="438"/>
      <c r="V80" s="434"/>
      <c r="W80" s="434"/>
      <c r="X80" s="434"/>
      <c r="Y80" s="406" t="s">
        <v>70</v>
      </c>
    </row>
    <row r="81" spans="1:25" ht="22.5" customHeight="1" thickTop="1" thickBot="1" x14ac:dyDescent="0.3">
      <c r="A81" s="434" t="s">
        <v>67</v>
      </c>
      <c r="B81" s="434" t="s">
        <v>71</v>
      </c>
      <c r="C81" s="426" t="s">
        <v>85</v>
      </c>
      <c r="D81" s="434" t="s">
        <v>71</v>
      </c>
      <c r="E81" s="434" t="s">
        <v>71</v>
      </c>
      <c r="F81" s="434" t="s">
        <v>71</v>
      </c>
      <c r="G81" s="426" t="s">
        <v>89</v>
      </c>
      <c r="H81" s="426" t="s">
        <v>85</v>
      </c>
      <c r="I81" s="426"/>
      <c r="J81" s="431" t="s">
        <v>164</v>
      </c>
      <c r="K81" s="437"/>
      <c r="L81" s="437"/>
      <c r="M81" s="437"/>
      <c r="N81" s="432"/>
      <c r="O81" s="437"/>
      <c r="P81" s="437"/>
      <c r="Q81" s="437"/>
      <c r="R81" s="437"/>
      <c r="S81" s="432"/>
      <c r="T81" s="437"/>
      <c r="U81" s="438"/>
      <c r="V81" s="434"/>
      <c r="W81" s="434"/>
      <c r="X81" s="434"/>
      <c r="Y81" s="406" t="s">
        <v>70</v>
      </c>
    </row>
    <row r="82" spans="1:25" ht="22.5" customHeight="1" thickTop="1" thickBot="1" x14ac:dyDescent="0.3">
      <c r="A82" s="419" t="s">
        <v>67</v>
      </c>
      <c r="B82" s="420" t="s">
        <v>71</v>
      </c>
      <c r="C82" s="420" t="s">
        <v>85</v>
      </c>
      <c r="D82" s="420" t="s">
        <v>85</v>
      </c>
      <c r="E82" s="420"/>
      <c r="F82" s="421"/>
      <c r="G82" s="421"/>
      <c r="H82" s="421"/>
      <c r="I82" s="421"/>
      <c r="J82" s="422" t="s">
        <v>165</v>
      </c>
      <c r="K82" s="423"/>
      <c r="L82" s="423"/>
      <c r="M82" s="423"/>
      <c r="N82" s="423"/>
      <c r="O82" s="423"/>
      <c r="P82" s="423"/>
      <c r="Q82" s="423"/>
      <c r="R82" s="423"/>
      <c r="S82" s="423"/>
      <c r="T82" s="423"/>
      <c r="U82" s="424"/>
      <c r="V82" s="420"/>
      <c r="W82" s="419"/>
      <c r="X82" s="419"/>
      <c r="Y82" s="406" t="s">
        <v>70</v>
      </c>
    </row>
    <row r="83" spans="1:25" ht="22.5" customHeight="1" thickTop="1" thickBot="1" x14ac:dyDescent="0.3">
      <c r="A83" s="419">
        <v>1</v>
      </c>
      <c r="B83" s="420" t="s">
        <v>71</v>
      </c>
      <c r="C83" s="420" t="s">
        <v>85</v>
      </c>
      <c r="D83" s="420" t="s">
        <v>85</v>
      </c>
      <c r="E83" s="420" t="s">
        <v>71</v>
      </c>
      <c r="F83" s="421"/>
      <c r="G83" s="421"/>
      <c r="H83" s="421"/>
      <c r="I83" s="421"/>
      <c r="J83" s="422" t="s">
        <v>166</v>
      </c>
      <c r="K83" s="423"/>
      <c r="L83" s="423"/>
      <c r="M83" s="423"/>
      <c r="N83" s="423"/>
      <c r="O83" s="423"/>
      <c r="P83" s="423"/>
      <c r="Q83" s="423"/>
      <c r="R83" s="423"/>
      <c r="S83" s="423"/>
      <c r="T83" s="423"/>
      <c r="U83" s="424"/>
      <c r="V83" s="420"/>
      <c r="W83" s="419"/>
      <c r="X83" s="419"/>
      <c r="Y83" s="406"/>
    </row>
    <row r="84" spans="1:25" s="174" customFormat="1" ht="22.5" customHeight="1" thickTop="1" thickBot="1" x14ac:dyDescent="0.3">
      <c r="A84" s="430" t="s">
        <v>67</v>
      </c>
      <c r="B84" s="430" t="s">
        <v>71</v>
      </c>
      <c r="C84" s="425" t="s">
        <v>85</v>
      </c>
      <c r="D84" s="425" t="s">
        <v>85</v>
      </c>
      <c r="E84" s="425" t="s">
        <v>71</v>
      </c>
      <c r="F84" s="425" t="s">
        <v>71</v>
      </c>
      <c r="G84" s="425"/>
      <c r="H84" s="426"/>
      <c r="I84" s="426"/>
      <c r="J84" s="427" t="s">
        <v>167</v>
      </c>
      <c r="K84" s="428"/>
      <c r="L84" s="428"/>
      <c r="M84" s="428"/>
      <c r="N84" s="428"/>
      <c r="O84" s="428"/>
      <c r="P84" s="428"/>
      <c r="Q84" s="428"/>
      <c r="R84" s="428"/>
      <c r="S84" s="428"/>
      <c r="T84" s="428"/>
      <c r="U84" s="429"/>
      <c r="V84" s="430"/>
      <c r="W84" s="430"/>
      <c r="X84" s="430"/>
      <c r="Y84" s="406" t="s">
        <v>70</v>
      </c>
    </row>
    <row r="85" spans="1:25" ht="22.5" customHeight="1" thickTop="1" thickBot="1" x14ac:dyDescent="0.3">
      <c r="A85" s="434" t="s">
        <v>67</v>
      </c>
      <c r="B85" s="434" t="s">
        <v>71</v>
      </c>
      <c r="C85" s="426" t="s">
        <v>85</v>
      </c>
      <c r="D85" s="426" t="s">
        <v>85</v>
      </c>
      <c r="E85" s="434" t="s">
        <v>71</v>
      </c>
      <c r="F85" s="426" t="s">
        <v>71</v>
      </c>
      <c r="G85" s="425" t="s">
        <v>71</v>
      </c>
      <c r="H85" s="426"/>
      <c r="I85" s="426"/>
      <c r="J85" s="427" t="s">
        <v>168</v>
      </c>
      <c r="K85" s="432"/>
      <c r="L85" s="432"/>
      <c r="M85" s="432"/>
      <c r="N85" s="432"/>
      <c r="O85" s="432"/>
      <c r="P85" s="432"/>
      <c r="Q85" s="432"/>
      <c r="R85" s="432"/>
      <c r="S85" s="432"/>
      <c r="T85" s="432"/>
      <c r="U85" s="433"/>
      <c r="V85" s="434"/>
      <c r="W85" s="434" t="s">
        <v>169</v>
      </c>
      <c r="X85" s="434" t="s">
        <v>170</v>
      </c>
      <c r="Y85" s="439" t="s">
        <v>70</v>
      </c>
    </row>
    <row r="86" spans="1:25" ht="22.5" customHeight="1" thickTop="1" thickBot="1" x14ac:dyDescent="0.3">
      <c r="A86" s="434" t="s">
        <v>67</v>
      </c>
      <c r="B86" s="434" t="s">
        <v>71</v>
      </c>
      <c r="C86" s="426" t="s">
        <v>85</v>
      </c>
      <c r="D86" s="426" t="s">
        <v>85</v>
      </c>
      <c r="E86" s="434" t="s">
        <v>71</v>
      </c>
      <c r="F86" s="434" t="s">
        <v>71</v>
      </c>
      <c r="G86" s="426" t="s">
        <v>71</v>
      </c>
      <c r="H86" s="426" t="s">
        <v>71</v>
      </c>
      <c r="I86" s="426"/>
      <c r="J86" s="431" t="s">
        <v>171</v>
      </c>
      <c r="K86" s="432"/>
      <c r="L86" s="432"/>
      <c r="M86" s="432"/>
      <c r="N86" s="432"/>
      <c r="O86" s="432"/>
      <c r="P86" s="432"/>
      <c r="Q86" s="432"/>
      <c r="R86" s="432"/>
      <c r="S86" s="432"/>
      <c r="T86" s="432"/>
      <c r="U86" s="433"/>
      <c r="V86" s="434"/>
      <c r="W86" s="434"/>
      <c r="X86" s="434"/>
      <c r="Y86" s="439" t="s">
        <v>70</v>
      </c>
    </row>
    <row r="87" spans="1:25" ht="22.5" customHeight="1" thickTop="1" thickBot="1" x14ac:dyDescent="0.3">
      <c r="A87" s="434" t="s">
        <v>67</v>
      </c>
      <c r="B87" s="434" t="s">
        <v>71</v>
      </c>
      <c r="C87" s="426" t="s">
        <v>85</v>
      </c>
      <c r="D87" s="426" t="s">
        <v>85</v>
      </c>
      <c r="E87" s="434" t="s">
        <v>71</v>
      </c>
      <c r="F87" s="434" t="s">
        <v>71</v>
      </c>
      <c r="G87" s="426" t="s">
        <v>71</v>
      </c>
      <c r="H87" s="426" t="s">
        <v>85</v>
      </c>
      <c r="I87" s="426"/>
      <c r="J87" s="431" t="s">
        <v>172</v>
      </c>
      <c r="K87" s="432"/>
      <c r="L87" s="432"/>
      <c r="M87" s="432"/>
      <c r="N87" s="432"/>
      <c r="O87" s="432"/>
      <c r="P87" s="432"/>
      <c r="Q87" s="432"/>
      <c r="R87" s="432"/>
      <c r="S87" s="432"/>
      <c r="T87" s="432"/>
      <c r="U87" s="433"/>
      <c r="V87" s="434"/>
      <c r="W87" s="434"/>
      <c r="X87" s="434"/>
      <c r="Y87" s="439" t="s">
        <v>70</v>
      </c>
    </row>
    <row r="88" spans="1:25" ht="22.5" customHeight="1" thickTop="1" thickBot="1" x14ac:dyDescent="0.3">
      <c r="A88" s="434" t="s">
        <v>67</v>
      </c>
      <c r="B88" s="434" t="s">
        <v>71</v>
      </c>
      <c r="C88" s="426" t="s">
        <v>85</v>
      </c>
      <c r="D88" s="426" t="s">
        <v>85</v>
      </c>
      <c r="E88" s="434" t="s">
        <v>71</v>
      </c>
      <c r="F88" s="434" t="s">
        <v>71</v>
      </c>
      <c r="G88" s="426" t="s">
        <v>71</v>
      </c>
      <c r="H88" s="426" t="s">
        <v>87</v>
      </c>
      <c r="I88" s="426"/>
      <c r="J88" s="431" t="s">
        <v>173</v>
      </c>
      <c r="K88" s="432"/>
      <c r="L88" s="432"/>
      <c r="M88" s="432"/>
      <c r="N88" s="432"/>
      <c r="O88" s="432"/>
      <c r="P88" s="432"/>
      <c r="Q88" s="432"/>
      <c r="R88" s="432"/>
      <c r="S88" s="432"/>
      <c r="T88" s="432"/>
      <c r="U88" s="433"/>
      <c r="V88" s="434"/>
      <c r="W88" s="434"/>
      <c r="X88" s="434"/>
      <c r="Y88" s="439"/>
    </row>
    <row r="89" spans="1:25" ht="22.5" customHeight="1" thickTop="1" thickBot="1" x14ac:dyDescent="0.3">
      <c r="A89" s="434" t="s">
        <v>67</v>
      </c>
      <c r="B89" s="434" t="s">
        <v>71</v>
      </c>
      <c r="C89" s="426" t="s">
        <v>85</v>
      </c>
      <c r="D89" s="426" t="s">
        <v>85</v>
      </c>
      <c r="E89" s="434" t="s">
        <v>71</v>
      </c>
      <c r="F89" s="434" t="s">
        <v>71</v>
      </c>
      <c r="G89" s="426" t="s">
        <v>71</v>
      </c>
      <c r="H89" s="426" t="s">
        <v>89</v>
      </c>
      <c r="I89" s="426"/>
      <c r="J89" s="431" t="s">
        <v>174</v>
      </c>
      <c r="K89" s="432"/>
      <c r="L89" s="432"/>
      <c r="M89" s="432"/>
      <c r="N89" s="432"/>
      <c r="O89" s="432"/>
      <c r="P89" s="432"/>
      <c r="Q89" s="432"/>
      <c r="R89" s="432"/>
      <c r="S89" s="432"/>
      <c r="T89" s="432"/>
      <c r="U89" s="433"/>
      <c r="V89" s="434"/>
      <c r="W89" s="434"/>
      <c r="X89" s="434"/>
      <c r="Y89" s="439"/>
    </row>
    <row r="90" spans="1:25" ht="22.5" customHeight="1" thickTop="1" thickBot="1" x14ac:dyDescent="0.3">
      <c r="A90" s="434" t="s">
        <v>67</v>
      </c>
      <c r="B90" s="434" t="s">
        <v>71</v>
      </c>
      <c r="C90" s="426" t="s">
        <v>85</v>
      </c>
      <c r="D90" s="426" t="s">
        <v>85</v>
      </c>
      <c r="E90" s="434" t="s">
        <v>71</v>
      </c>
      <c r="F90" s="434" t="s">
        <v>71</v>
      </c>
      <c r="G90" s="426" t="s">
        <v>71</v>
      </c>
      <c r="H90" s="426" t="s">
        <v>91</v>
      </c>
      <c r="I90" s="426"/>
      <c r="J90" s="431" t="s">
        <v>175</v>
      </c>
      <c r="K90" s="432"/>
      <c r="L90" s="432"/>
      <c r="M90" s="432"/>
      <c r="N90" s="432"/>
      <c r="O90" s="432"/>
      <c r="P90" s="432"/>
      <c r="Q90" s="432"/>
      <c r="R90" s="432"/>
      <c r="S90" s="432"/>
      <c r="T90" s="432"/>
      <c r="U90" s="433"/>
      <c r="V90" s="434"/>
      <c r="W90" s="434"/>
      <c r="X90" s="434"/>
      <c r="Y90" s="439"/>
    </row>
    <row r="91" spans="1:25" ht="22.5" customHeight="1" thickTop="1" thickBot="1" x14ac:dyDescent="0.3">
      <c r="A91" s="434" t="s">
        <v>67</v>
      </c>
      <c r="B91" s="434" t="s">
        <v>71</v>
      </c>
      <c r="C91" s="426" t="s">
        <v>85</v>
      </c>
      <c r="D91" s="426" t="s">
        <v>85</v>
      </c>
      <c r="E91" s="434" t="s">
        <v>71</v>
      </c>
      <c r="F91" s="434" t="s">
        <v>71</v>
      </c>
      <c r="G91" s="426" t="s">
        <v>71</v>
      </c>
      <c r="H91" s="426" t="s">
        <v>93</v>
      </c>
      <c r="I91" s="426"/>
      <c r="J91" s="431" t="s">
        <v>176</v>
      </c>
      <c r="K91" s="432"/>
      <c r="L91" s="432"/>
      <c r="M91" s="432"/>
      <c r="N91" s="432"/>
      <c r="O91" s="432"/>
      <c r="P91" s="432"/>
      <c r="Q91" s="432"/>
      <c r="R91" s="432"/>
      <c r="S91" s="432"/>
      <c r="T91" s="432"/>
      <c r="U91" s="433"/>
      <c r="V91" s="434"/>
      <c r="W91" s="434"/>
      <c r="X91" s="434"/>
      <c r="Y91" s="439"/>
    </row>
    <row r="92" spans="1:25" ht="22.5" customHeight="1" thickTop="1" thickBot="1" x14ac:dyDescent="0.3">
      <c r="A92" s="434" t="s">
        <v>67</v>
      </c>
      <c r="B92" s="434" t="s">
        <v>71</v>
      </c>
      <c r="C92" s="426" t="s">
        <v>85</v>
      </c>
      <c r="D92" s="426" t="s">
        <v>85</v>
      </c>
      <c r="E92" s="434" t="s">
        <v>71</v>
      </c>
      <c r="F92" s="434" t="s">
        <v>71</v>
      </c>
      <c r="G92" s="426" t="s">
        <v>71</v>
      </c>
      <c r="H92" s="426" t="s">
        <v>95</v>
      </c>
      <c r="I92" s="426"/>
      <c r="J92" s="431" t="s">
        <v>177</v>
      </c>
      <c r="K92" s="432"/>
      <c r="L92" s="432"/>
      <c r="M92" s="432"/>
      <c r="N92" s="432"/>
      <c r="O92" s="432"/>
      <c r="P92" s="432"/>
      <c r="Q92" s="432"/>
      <c r="R92" s="432"/>
      <c r="S92" s="432"/>
      <c r="T92" s="432"/>
      <c r="U92" s="433"/>
      <c r="V92" s="434"/>
      <c r="W92" s="434"/>
      <c r="X92" s="434"/>
      <c r="Y92" s="439"/>
    </row>
    <row r="93" spans="1:25" ht="22.5" customHeight="1" thickTop="1" thickBot="1" x14ac:dyDescent="0.3">
      <c r="A93" s="434" t="s">
        <v>67</v>
      </c>
      <c r="B93" s="434" t="s">
        <v>71</v>
      </c>
      <c r="C93" s="426" t="s">
        <v>85</v>
      </c>
      <c r="D93" s="426" t="s">
        <v>85</v>
      </c>
      <c r="E93" s="434" t="s">
        <v>71</v>
      </c>
      <c r="F93" s="434" t="s">
        <v>71</v>
      </c>
      <c r="G93" s="426" t="s">
        <v>71</v>
      </c>
      <c r="H93" s="426" t="s">
        <v>97</v>
      </c>
      <c r="I93" s="426"/>
      <c r="J93" s="431" t="s">
        <v>174</v>
      </c>
      <c r="K93" s="432"/>
      <c r="L93" s="432"/>
      <c r="M93" s="432"/>
      <c r="N93" s="432"/>
      <c r="O93" s="432"/>
      <c r="P93" s="432"/>
      <c r="Q93" s="432"/>
      <c r="R93" s="432"/>
      <c r="S93" s="432"/>
      <c r="T93" s="432"/>
      <c r="U93" s="433"/>
      <c r="V93" s="434"/>
      <c r="W93" s="434"/>
      <c r="X93" s="434"/>
      <c r="Y93" s="439"/>
    </row>
    <row r="94" spans="1:25" ht="22.5" customHeight="1" thickTop="1" thickBot="1" x14ac:dyDescent="0.3">
      <c r="A94" s="434" t="s">
        <v>67</v>
      </c>
      <c r="B94" s="434" t="s">
        <v>71</v>
      </c>
      <c r="C94" s="426" t="s">
        <v>85</v>
      </c>
      <c r="D94" s="426" t="s">
        <v>85</v>
      </c>
      <c r="E94" s="434" t="s">
        <v>71</v>
      </c>
      <c r="F94" s="434" t="s">
        <v>71</v>
      </c>
      <c r="G94" s="425" t="s">
        <v>85</v>
      </c>
      <c r="H94" s="426"/>
      <c r="I94" s="426"/>
      <c r="J94" s="427" t="s">
        <v>178</v>
      </c>
      <c r="K94" s="432"/>
      <c r="L94" s="432"/>
      <c r="M94" s="432"/>
      <c r="N94" s="432"/>
      <c r="O94" s="432"/>
      <c r="P94" s="432"/>
      <c r="Q94" s="432"/>
      <c r="R94" s="432"/>
      <c r="S94" s="432"/>
      <c r="T94" s="432"/>
      <c r="U94" s="433"/>
      <c r="V94" s="434"/>
      <c r="W94" s="434" t="s">
        <v>179</v>
      </c>
      <c r="X94" s="434" t="s">
        <v>180</v>
      </c>
      <c r="Y94" s="439" t="s">
        <v>70</v>
      </c>
    </row>
    <row r="95" spans="1:25" ht="22.5" customHeight="1" thickTop="1" thickBot="1" x14ac:dyDescent="0.3">
      <c r="A95" s="434" t="s">
        <v>67</v>
      </c>
      <c r="B95" s="434" t="s">
        <v>71</v>
      </c>
      <c r="C95" s="426" t="s">
        <v>85</v>
      </c>
      <c r="D95" s="426" t="s">
        <v>85</v>
      </c>
      <c r="E95" s="434" t="s">
        <v>71</v>
      </c>
      <c r="F95" s="434" t="s">
        <v>71</v>
      </c>
      <c r="G95" s="426" t="s">
        <v>85</v>
      </c>
      <c r="H95" s="426" t="s">
        <v>71</v>
      </c>
      <c r="I95" s="426"/>
      <c r="J95" s="431" t="s">
        <v>181</v>
      </c>
      <c r="K95" s="432"/>
      <c r="L95" s="432"/>
      <c r="M95" s="432"/>
      <c r="N95" s="432"/>
      <c r="O95" s="432"/>
      <c r="P95" s="432"/>
      <c r="Q95" s="432"/>
      <c r="R95" s="432"/>
      <c r="S95" s="432"/>
      <c r="T95" s="432"/>
      <c r="U95" s="433"/>
      <c r="V95" s="434"/>
      <c r="W95" s="434"/>
      <c r="X95" s="434"/>
      <c r="Y95" s="439" t="s">
        <v>70</v>
      </c>
    </row>
    <row r="96" spans="1:25" ht="22.5" customHeight="1" thickTop="1" thickBot="1" x14ac:dyDescent="0.3">
      <c r="A96" s="434" t="s">
        <v>67</v>
      </c>
      <c r="B96" s="434" t="s">
        <v>71</v>
      </c>
      <c r="C96" s="426" t="s">
        <v>85</v>
      </c>
      <c r="D96" s="426" t="s">
        <v>85</v>
      </c>
      <c r="E96" s="434" t="s">
        <v>71</v>
      </c>
      <c r="F96" s="434" t="s">
        <v>71</v>
      </c>
      <c r="G96" s="426" t="s">
        <v>85</v>
      </c>
      <c r="H96" s="426" t="s">
        <v>85</v>
      </c>
      <c r="I96" s="426"/>
      <c r="J96" s="431" t="s">
        <v>182</v>
      </c>
      <c r="K96" s="432"/>
      <c r="L96" s="432"/>
      <c r="M96" s="432"/>
      <c r="N96" s="432"/>
      <c r="O96" s="432"/>
      <c r="P96" s="432"/>
      <c r="Q96" s="432"/>
      <c r="R96" s="432"/>
      <c r="S96" s="432"/>
      <c r="T96" s="432"/>
      <c r="U96" s="433"/>
      <c r="V96" s="434"/>
      <c r="W96" s="434"/>
      <c r="X96" s="434"/>
      <c r="Y96" s="439" t="s">
        <v>70</v>
      </c>
    </row>
    <row r="97" spans="1:25" ht="22.5" customHeight="1" thickTop="1" thickBot="1" x14ac:dyDescent="0.3">
      <c r="A97" s="434" t="s">
        <v>67</v>
      </c>
      <c r="B97" s="434" t="s">
        <v>71</v>
      </c>
      <c r="C97" s="426" t="s">
        <v>85</v>
      </c>
      <c r="D97" s="426" t="s">
        <v>85</v>
      </c>
      <c r="E97" s="434" t="s">
        <v>71</v>
      </c>
      <c r="F97" s="434" t="s">
        <v>71</v>
      </c>
      <c r="G97" s="426" t="s">
        <v>85</v>
      </c>
      <c r="H97" s="426" t="s">
        <v>87</v>
      </c>
      <c r="I97" s="426"/>
      <c r="J97" s="431" t="s">
        <v>183</v>
      </c>
      <c r="K97" s="432"/>
      <c r="L97" s="432"/>
      <c r="M97" s="432"/>
      <c r="N97" s="432"/>
      <c r="O97" s="432"/>
      <c r="P97" s="432"/>
      <c r="Q97" s="432"/>
      <c r="R97" s="432"/>
      <c r="S97" s="432"/>
      <c r="T97" s="432"/>
      <c r="U97" s="433"/>
      <c r="V97" s="434"/>
      <c r="W97" s="434"/>
      <c r="X97" s="434"/>
      <c r="Y97" s="439"/>
    </row>
    <row r="98" spans="1:25" ht="22.5" customHeight="1" thickTop="1" thickBot="1" x14ac:dyDescent="0.3">
      <c r="A98" s="434" t="s">
        <v>67</v>
      </c>
      <c r="B98" s="434" t="s">
        <v>71</v>
      </c>
      <c r="C98" s="426" t="s">
        <v>85</v>
      </c>
      <c r="D98" s="426" t="s">
        <v>85</v>
      </c>
      <c r="E98" s="434" t="s">
        <v>71</v>
      </c>
      <c r="F98" s="434" t="s">
        <v>71</v>
      </c>
      <c r="G98" s="426" t="s">
        <v>85</v>
      </c>
      <c r="H98" s="426" t="s">
        <v>89</v>
      </c>
      <c r="I98" s="426"/>
      <c r="J98" s="431" t="s">
        <v>184</v>
      </c>
      <c r="K98" s="432"/>
      <c r="L98" s="432"/>
      <c r="M98" s="432"/>
      <c r="N98" s="432"/>
      <c r="O98" s="432"/>
      <c r="P98" s="432"/>
      <c r="Q98" s="432"/>
      <c r="R98" s="432"/>
      <c r="S98" s="432"/>
      <c r="T98" s="432"/>
      <c r="U98" s="433"/>
      <c r="V98" s="434"/>
      <c r="W98" s="434"/>
      <c r="X98" s="434"/>
      <c r="Y98" s="439"/>
    </row>
    <row r="99" spans="1:25" ht="22.5" customHeight="1" thickTop="1" thickBot="1" x14ac:dyDescent="0.3">
      <c r="A99" s="434" t="s">
        <v>67</v>
      </c>
      <c r="B99" s="434" t="s">
        <v>71</v>
      </c>
      <c r="C99" s="426" t="s">
        <v>85</v>
      </c>
      <c r="D99" s="426" t="s">
        <v>85</v>
      </c>
      <c r="E99" s="434" t="s">
        <v>71</v>
      </c>
      <c r="F99" s="434" t="s">
        <v>71</v>
      </c>
      <c r="G99" s="426" t="s">
        <v>85</v>
      </c>
      <c r="H99" s="426" t="s">
        <v>91</v>
      </c>
      <c r="I99" s="426"/>
      <c r="J99" s="431" t="s">
        <v>185</v>
      </c>
      <c r="K99" s="432"/>
      <c r="L99" s="432"/>
      <c r="M99" s="432"/>
      <c r="N99" s="432"/>
      <c r="O99" s="432"/>
      <c r="P99" s="432"/>
      <c r="Q99" s="432"/>
      <c r="R99" s="432"/>
      <c r="S99" s="432"/>
      <c r="T99" s="432"/>
      <c r="U99" s="433"/>
      <c r="V99" s="434"/>
      <c r="W99" s="434"/>
      <c r="X99" s="434"/>
      <c r="Y99" s="439"/>
    </row>
    <row r="100" spans="1:25" ht="22.5" customHeight="1" thickTop="1" thickBot="1" x14ac:dyDescent="0.3">
      <c r="A100" s="434" t="s">
        <v>67</v>
      </c>
      <c r="B100" s="434" t="s">
        <v>71</v>
      </c>
      <c r="C100" s="426" t="s">
        <v>85</v>
      </c>
      <c r="D100" s="426" t="s">
        <v>85</v>
      </c>
      <c r="E100" s="434" t="s">
        <v>71</v>
      </c>
      <c r="F100" s="434" t="s">
        <v>71</v>
      </c>
      <c r="G100" s="426" t="s">
        <v>85</v>
      </c>
      <c r="H100" s="426" t="s">
        <v>93</v>
      </c>
      <c r="I100" s="426"/>
      <c r="J100" s="431" t="s">
        <v>186</v>
      </c>
      <c r="K100" s="432"/>
      <c r="L100" s="432"/>
      <c r="M100" s="432"/>
      <c r="N100" s="432"/>
      <c r="O100" s="432"/>
      <c r="P100" s="432"/>
      <c r="Q100" s="432"/>
      <c r="R100" s="432"/>
      <c r="S100" s="432"/>
      <c r="T100" s="432"/>
      <c r="U100" s="433"/>
      <c r="V100" s="434"/>
      <c r="W100" s="434"/>
      <c r="X100" s="434"/>
      <c r="Y100" s="439"/>
    </row>
    <row r="101" spans="1:25" ht="22.5" customHeight="1" thickTop="1" thickBot="1" x14ac:dyDescent="0.3">
      <c r="A101" s="434" t="s">
        <v>67</v>
      </c>
      <c r="B101" s="434" t="s">
        <v>71</v>
      </c>
      <c r="C101" s="426" t="s">
        <v>85</v>
      </c>
      <c r="D101" s="426" t="s">
        <v>85</v>
      </c>
      <c r="E101" s="434" t="s">
        <v>71</v>
      </c>
      <c r="F101" s="434" t="s">
        <v>71</v>
      </c>
      <c r="G101" s="426" t="s">
        <v>85</v>
      </c>
      <c r="H101" s="426" t="s">
        <v>95</v>
      </c>
      <c r="I101" s="426"/>
      <c r="J101" s="431" t="s">
        <v>187</v>
      </c>
      <c r="K101" s="432"/>
      <c r="L101" s="432"/>
      <c r="M101" s="432"/>
      <c r="N101" s="432"/>
      <c r="O101" s="432"/>
      <c r="P101" s="432"/>
      <c r="Q101" s="432"/>
      <c r="R101" s="432"/>
      <c r="S101" s="432"/>
      <c r="T101" s="432"/>
      <c r="U101" s="433"/>
      <c r="V101" s="434"/>
      <c r="W101" s="434"/>
      <c r="X101" s="434"/>
      <c r="Y101" s="439"/>
    </row>
    <row r="102" spans="1:25" ht="22.5" customHeight="1" thickTop="1" thickBot="1" x14ac:dyDescent="0.3">
      <c r="A102" s="434" t="s">
        <v>67</v>
      </c>
      <c r="B102" s="434" t="s">
        <v>71</v>
      </c>
      <c r="C102" s="426" t="s">
        <v>85</v>
      </c>
      <c r="D102" s="426" t="s">
        <v>85</v>
      </c>
      <c r="E102" s="434" t="s">
        <v>71</v>
      </c>
      <c r="F102" s="434" t="s">
        <v>71</v>
      </c>
      <c r="G102" s="426" t="s">
        <v>85</v>
      </c>
      <c r="H102" s="426" t="s">
        <v>97</v>
      </c>
      <c r="I102" s="426"/>
      <c r="J102" s="431" t="s">
        <v>184</v>
      </c>
      <c r="K102" s="432"/>
      <c r="L102" s="432"/>
      <c r="M102" s="432"/>
      <c r="N102" s="432"/>
      <c r="O102" s="432"/>
      <c r="P102" s="432"/>
      <c r="Q102" s="432"/>
      <c r="R102" s="432"/>
      <c r="S102" s="432"/>
      <c r="T102" s="432"/>
      <c r="U102" s="433"/>
      <c r="V102" s="434"/>
      <c r="W102" s="434"/>
      <c r="X102" s="434"/>
      <c r="Y102" s="439"/>
    </row>
    <row r="103" spans="1:25" ht="22.5" customHeight="1" thickTop="1" thickBot="1" x14ac:dyDescent="0.3">
      <c r="A103" s="434" t="s">
        <v>67</v>
      </c>
      <c r="B103" s="434" t="s">
        <v>71</v>
      </c>
      <c r="C103" s="426" t="s">
        <v>85</v>
      </c>
      <c r="D103" s="426" t="s">
        <v>85</v>
      </c>
      <c r="E103" s="434" t="s">
        <v>71</v>
      </c>
      <c r="F103" s="434" t="s">
        <v>71</v>
      </c>
      <c r="G103" s="425" t="s">
        <v>87</v>
      </c>
      <c r="H103" s="426"/>
      <c r="I103" s="426"/>
      <c r="J103" s="427" t="s">
        <v>188</v>
      </c>
      <c r="K103" s="432"/>
      <c r="L103" s="432"/>
      <c r="M103" s="432"/>
      <c r="N103" s="432"/>
      <c r="O103" s="432"/>
      <c r="P103" s="432"/>
      <c r="Q103" s="432"/>
      <c r="R103" s="432"/>
      <c r="S103" s="432"/>
      <c r="T103" s="432"/>
      <c r="U103" s="433"/>
      <c r="V103" s="434"/>
      <c r="W103" s="434"/>
      <c r="X103" s="434"/>
      <c r="Y103" s="439" t="s">
        <v>70</v>
      </c>
    </row>
    <row r="104" spans="1:25" ht="22.5" customHeight="1" thickTop="1" thickBot="1" x14ac:dyDescent="0.3">
      <c r="A104" s="434" t="s">
        <v>67</v>
      </c>
      <c r="B104" s="434" t="s">
        <v>71</v>
      </c>
      <c r="C104" s="426" t="s">
        <v>85</v>
      </c>
      <c r="D104" s="426" t="s">
        <v>85</v>
      </c>
      <c r="E104" s="434" t="s">
        <v>71</v>
      </c>
      <c r="F104" s="434" t="s">
        <v>71</v>
      </c>
      <c r="G104" s="426" t="s">
        <v>87</v>
      </c>
      <c r="H104" s="426" t="s">
        <v>71</v>
      </c>
      <c r="I104" s="426"/>
      <c r="J104" s="431" t="s">
        <v>189</v>
      </c>
      <c r="K104" s="432"/>
      <c r="L104" s="432"/>
      <c r="M104" s="432"/>
      <c r="N104" s="432"/>
      <c r="O104" s="432"/>
      <c r="P104" s="432"/>
      <c r="Q104" s="432"/>
      <c r="R104" s="432"/>
      <c r="S104" s="432"/>
      <c r="T104" s="432"/>
      <c r="U104" s="433"/>
      <c r="V104" s="434"/>
      <c r="W104" s="434"/>
      <c r="X104" s="434"/>
      <c r="Y104" s="439" t="s">
        <v>70</v>
      </c>
    </row>
    <row r="105" spans="1:25" ht="22.5" customHeight="1" thickTop="1" thickBot="1" x14ac:dyDescent="0.3">
      <c r="A105" s="434" t="s">
        <v>67</v>
      </c>
      <c r="B105" s="434" t="s">
        <v>71</v>
      </c>
      <c r="C105" s="426" t="s">
        <v>85</v>
      </c>
      <c r="D105" s="426" t="s">
        <v>85</v>
      </c>
      <c r="E105" s="434" t="s">
        <v>71</v>
      </c>
      <c r="F105" s="434" t="s">
        <v>71</v>
      </c>
      <c r="G105" s="426" t="s">
        <v>87</v>
      </c>
      <c r="H105" s="426" t="s">
        <v>85</v>
      </c>
      <c r="I105" s="426"/>
      <c r="J105" s="431" t="s">
        <v>190</v>
      </c>
      <c r="K105" s="432"/>
      <c r="L105" s="432"/>
      <c r="M105" s="432"/>
      <c r="N105" s="432"/>
      <c r="O105" s="432"/>
      <c r="P105" s="432"/>
      <c r="Q105" s="432"/>
      <c r="R105" s="432"/>
      <c r="S105" s="432"/>
      <c r="T105" s="432"/>
      <c r="U105" s="433"/>
      <c r="V105" s="434"/>
      <c r="W105" s="434"/>
      <c r="X105" s="434"/>
      <c r="Y105" s="439" t="s">
        <v>70</v>
      </c>
    </row>
    <row r="106" spans="1:25" ht="22.5" customHeight="1" thickTop="1" thickBot="1" x14ac:dyDescent="0.3">
      <c r="A106" s="434" t="s">
        <v>67</v>
      </c>
      <c r="B106" s="434" t="s">
        <v>71</v>
      </c>
      <c r="C106" s="426" t="s">
        <v>85</v>
      </c>
      <c r="D106" s="426" t="s">
        <v>85</v>
      </c>
      <c r="E106" s="434" t="s">
        <v>71</v>
      </c>
      <c r="F106" s="434" t="s">
        <v>71</v>
      </c>
      <c r="G106" s="426" t="s">
        <v>87</v>
      </c>
      <c r="H106" s="426" t="s">
        <v>87</v>
      </c>
      <c r="I106" s="426"/>
      <c r="J106" s="431" t="s">
        <v>191</v>
      </c>
      <c r="K106" s="432"/>
      <c r="L106" s="432"/>
      <c r="M106" s="432"/>
      <c r="N106" s="432"/>
      <c r="O106" s="432"/>
      <c r="P106" s="432"/>
      <c r="Q106" s="432"/>
      <c r="R106" s="432"/>
      <c r="S106" s="432"/>
      <c r="T106" s="432"/>
      <c r="U106" s="433"/>
      <c r="V106" s="434"/>
      <c r="W106" s="434"/>
      <c r="X106" s="434"/>
      <c r="Y106" s="439"/>
    </row>
    <row r="107" spans="1:25" ht="22.5" customHeight="1" thickTop="1" thickBot="1" x14ac:dyDescent="0.3">
      <c r="A107" s="434" t="s">
        <v>67</v>
      </c>
      <c r="B107" s="434" t="s">
        <v>71</v>
      </c>
      <c r="C107" s="426" t="s">
        <v>85</v>
      </c>
      <c r="D107" s="426" t="s">
        <v>85</v>
      </c>
      <c r="E107" s="434" t="s">
        <v>71</v>
      </c>
      <c r="F107" s="434" t="s">
        <v>71</v>
      </c>
      <c r="G107" s="426" t="s">
        <v>87</v>
      </c>
      <c r="H107" s="426" t="s">
        <v>89</v>
      </c>
      <c r="I107" s="426"/>
      <c r="J107" s="431" t="s">
        <v>192</v>
      </c>
      <c r="K107" s="432"/>
      <c r="L107" s="432"/>
      <c r="M107" s="432"/>
      <c r="N107" s="432"/>
      <c r="O107" s="432"/>
      <c r="P107" s="432"/>
      <c r="Q107" s="432"/>
      <c r="R107" s="432"/>
      <c r="S107" s="432"/>
      <c r="T107" s="432"/>
      <c r="U107" s="433"/>
      <c r="V107" s="434"/>
      <c r="W107" s="434"/>
      <c r="X107" s="434"/>
      <c r="Y107" s="439"/>
    </row>
    <row r="108" spans="1:25" ht="22.5" customHeight="1" thickTop="1" thickBot="1" x14ac:dyDescent="0.3">
      <c r="A108" s="434" t="s">
        <v>67</v>
      </c>
      <c r="B108" s="434" t="s">
        <v>71</v>
      </c>
      <c r="C108" s="426" t="s">
        <v>85</v>
      </c>
      <c r="D108" s="426" t="s">
        <v>85</v>
      </c>
      <c r="E108" s="434" t="s">
        <v>71</v>
      </c>
      <c r="F108" s="434" t="s">
        <v>71</v>
      </c>
      <c r="G108" s="426" t="s">
        <v>87</v>
      </c>
      <c r="H108" s="426" t="s">
        <v>91</v>
      </c>
      <c r="I108" s="426"/>
      <c r="J108" s="431" t="s">
        <v>193</v>
      </c>
      <c r="K108" s="432"/>
      <c r="L108" s="432"/>
      <c r="M108" s="432"/>
      <c r="N108" s="432"/>
      <c r="O108" s="432"/>
      <c r="P108" s="432"/>
      <c r="Q108" s="432"/>
      <c r="R108" s="432"/>
      <c r="S108" s="432"/>
      <c r="T108" s="432"/>
      <c r="U108" s="433"/>
      <c r="V108" s="434"/>
      <c r="W108" s="434"/>
      <c r="X108" s="434"/>
      <c r="Y108" s="439"/>
    </row>
    <row r="109" spans="1:25" ht="22.5" customHeight="1" thickTop="1" thickBot="1" x14ac:dyDescent="0.3">
      <c r="A109" s="434" t="s">
        <v>67</v>
      </c>
      <c r="B109" s="434" t="s">
        <v>71</v>
      </c>
      <c r="C109" s="426" t="s">
        <v>85</v>
      </c>
      <c r="D109" s="426" t="s">
        <v>85</v>
      </c>
      <c r="E109" s="434" t="s">
        <v>71</v>
      </c>
      <c r="F109" s="434" t="s">
        <v>71</v>
      </c>
      <c r="G109" s="426" t="s">
        <v>87</v>
      </c>
      <c r="H109" s="426" t="s">
        <v>93</v>
      </c>
      <c r="I109" s="426"/>
      <c r="J109" s="431" t="s">
        <v>194</v>
      </c>
      <c r="K109" s="432"/>
      <c r="L109" s="432"/>
      <c r="M109" s="432"/>
      <c r="N109" s="432"/>
      <c r="O109" s="432"/>
      <c r="P109" s="432"/>
      <c r="Q109" s="432"/>
      <c r="R109" s="432"/>
      <c r="S109" s="432"/>
      <c r="T109" s="432"/>
      <c r="U109" s="433"/>
      <c r="V109" s="434"/>
      <c r="W109" s="434"/>
      <c r="X109" s="434"/>
      <c r="Y109" s="439"/>
    </row>
    <row r="110" spans="1:25" ht="22.5" customHeight="1" thickTop="1" thickBot="1" x14ac:dyDescent="0.3">
      <c r="A110" s="434" t="s">
        <v>67</v>
      </c>
      <c r="B110" s="434" t="s">
        <v>71</v>
      </c>
      <c r="C110" s="426" t="s">
        <v>85</v>
      </c>
      <c r="D110" s="426" t="s">
        <v>85</v>
      </c>
      <c r="E110" s="434" t="s">
        <v>71</v>
      </c>
      <c r="F110" s="434" t="s">
        <v>71</v>
      </c>
      <c r="G110" s="426" t="s">
        <v>87</v>
      </c>
      <c r="H110" s="426" t="s">
        <v>95</v>
      </c>
      <c r="I110" s="426"/>
      <c r="J110" s="431" t="s">
        <v>195</v>
      </c>
      <c r="K110" s="432"/>
      <c r="L110" s="432"/>
      <c r="M110" s="432"/>
      <c r="N110" s="432"/>
      <c r="O110" s="432"/>
      <c r="P110" s="432"/>
      <c r="Q110" s="432"/>
      <c r="R110" s="432"/>
      <c r="S110" s="432"/>
      <c r="T110" s="432"/>
      <c r="U110" s="433"/>
      <c r="V110" s="434"/>
      <c r="W110" s="434"/>
      <c r="X110" s="434"/>
      <c r="Y110" s="439"/>
    </row>
    <row r="111" spans="1:25" ht="22.5" customHeight="1" thickTop="1" thickBot="1" x14ac:dyDescent="0.3">
      <c r="A111" s="434" t="s">
        <v>67</v>
      </c>
      <c r="B111" s="434" t="s">
        <v>71</v>
      </c>
      <c r="C111" s="426" t="s">
        <v>85</v>
      </c>
      <c r="D111" s="426" t="s">
        <v>85</v>
      </c>
      <c r="E111" s="434" t="s">
        <v>71</v>
      </c>
      <c r="F111" s="434" t="s">
        <v>71</v>
      </c>
      <c r="G111" s="426" t="s">
        <v>87</v>
      </c>
      <c r="H111" s="426" t="s">
        <v>97</v>
      </c>
      <c r="I111" s="426"/>
      <c r="J111" s="431" t="s">
        <v>192</v>
      </c>
      <c r="K111" s="432"/>
      <c r="L111" s="432"/>
      <c r="M111" s="432"/>
      <c r="N111" s="432"/>
      <c r="O111" s="432"/>
      <c r="P111" s="432"/>
      <c r="Q111" s="432"/>
      <c r="R111" s="432"/>
      <c r="S111" s="432"/>
      <c r="T111" s="432"/>
      <c r="U111" s="433"/>
      <c r="V111" s="434"/>
      <c r="W111" s="434"/>
      <c r="X111" s="434"/>
      <c r="Y111" s="439"/>
    </row>
    <row r="112" spans="1:25" ht="22.5" customHeight="1" thickTop="1" thickBot="1" x14ac:dyDescent="0.3">
      <c r="A112" s="434" t="s">
        <v>67</v>
      </c>
      <c r="B112" s="434" t="s">
        <v>71</v>
      </c>
      <c r="C112" s="426" t="s">
        <v>85</v>
      </c>
      <c r="D112" s="426" t="s">
        <v>85</v>
      </c>
      <c r="E112" s="434" t="s">
        <v>71</v>
      </c>
      <c r="F112" s="434" t="s">
        <v>71</v>
      </c>
      <c r="G112" s="425" t="s">
        <v>89</v>
      </c>
      <c r="H112" s="426"/>
      <c r="I112" s="426"/>
      <c r="J112" s="427" t="s">
        <v>196</v>
      </c>
      <c r="K112" s="432"/>
      <c r="L112" s="432"/>
      <c r="M112" s="432"/>
      <c r="N112" s="432"/>
      <c r="O112" s="432"/>
      <c r="P112" s="432"/>
      <c r="Q112" s="432"/>
      <c r="R112" s="432"/>
      <c r="S112" s="432"/>
      <c r="T112" s="432"/>
      <c r="U112" s="433"/>
      <c r="V112" s="434"/>
      <c r="W112" s="434" t="s">
        <v>197</v>
      </c>
      <c r="X112" s="434" t="s">
        <v>198</v>
      </c>
      <c r="Y112" s="439" t="s">
        <v>70</v>
      </c>
    </row>
    <row r="113" spans="1:25" ht="22.5" customHeight="1" thickTop="1" thickBot="1" x14ac:dyDescent="0.3">
      <c r="A113" s="434" t="s">
        <v>67</v>
      </c>
      <c r="B113" s="434" t="s">
        <v>71</v>
      </c>
      <c r="C113" s="426" t="s">
        <v>85</v>
      </c>
      <c r="D113" s="426" t="s">
        <v>85</v>
      </c>
      <c r="E113" s="434" t="s">
        <v>71</v>
      </c>
      <c r="F113" s="434" t="s">
        <v>71</v>
      </c>
      <c r="G113" s="426" t="s">
        <v>89</v>
      </c>
      <c r="H113" s="426" t="s">
        <v>71</v>
      </c>
      <c r="I113" s="426"/>
      <c r="J113" s="431" t="s">
        <v>199</v>
      </c>
      <c r="K113" s="432"/>
      <c r="L113" s="432"/>
      <c r="M113" s="432"/>
      <c r="N113" s="432"/>
      <c r="O113" s="432"/>
      <c r="P113" s="432"/>
      <c r="Q113" s="432"/>
      <c r="R113" s="432"/>
      <c r="S113" s="432"/>
      <c r="T113" s="432"/>
      <c r="U113" s="433"/>
      <c r="V113" s="434"/>
      <c r="W113" s="434"/>
      <c r="X113" s="434"/>
      <c r="Y113" s="439" t="s">
        <v>70</v>
      </c>
    </row>
    <row r="114" spans="1:25" ht="22.5" customHeight="1" thickTop="1" thickBot="1" x14ac:dyDescent="0.3">
      <c r="A114" s="434" t="s">
        <v>67</v>
      </c>
      <c r="B114" s="434" t="s">
        <v>71</v>
      </c>
      <c r="C114" s="426" t="s">
        <v>85</v>
      </c>
      <c r="D114" s="426" t="s">
        <v>85</v>
      </c>
      <c r="E114" s="434" t="s">
        <v>71</v>
      </c>
      <c r="F114" s="434" t="s">
        <v>71</v>
      </c>
      <c r="G114" s="426" t="s">
        <v>89</v>
      </c>
      <c r="H114" s="426" t="s">
        <v>85</v>
      </c>
      <c r="I114" s="426"/>
      <c r="J114" s="431" t="s">
        <v>200</v>
      </c>
      <c r="K114" s="432"/>
      <c r="L114" s="432"/>
      <c r="M114" s="432"/>
      <c r="N114" s="432"/>
      <c r="O114" s="432"/>
      <c r="P114" s="432"/>
      <c r="Q114" s="432"/>
      <c r="R114" s="432"/>
      <c r="S114" s="432"/>
      <c r="T114" s="432"/>
      <c r="U114" s="433"/>
      <c r="V114" s="434"/>
      <c r="W114" s="434"/>
      <c r="X114" s="434"/>
      <c r="Y114" s="439" t="s">
        <v>70</v>
      </c>
    </row>
    <row r="115" spans="1:25" ht="22.5" customHeight="1" thickTop="1" thickBot="1" x14ac:dyDescent="0.3">
      <c r="A115" s="434" t="s">
        <v>67</v>
      </c>
      <c r="B115" s="434" t="s">
        <v>71</v>
      </c>
      <c r="C115" s="426" t="s">
        <v>85</v>
      </c>
      <c r="D115" s="426" t="s">
        <v>85</v>
      </c>
      <c r="E115" s="434" t="s">
        <v>71</v>
      </c>
      <c r="F115" s="434" t="s">
        <v>71</v>
      </c>
      <c r="G115" s="426" t="s">
        <v>89</v>
      </c>
      <c r="H115" s="426" t="s">
        <v>87</v>
      </c>
      <c r="I115" s="426"/>
      <c r="J115" s="431" t="s">
        <v>201</v>
      </c>
      <c r="K115" s="432"/>
      <c r="L115" s="432"/>
      <c r="M115" s="432"/>
      <c r="N115" s="432"/>
      <c r="O115" s="432"/>
      <c r="P115" s="432"/>
      <c r="Q115" s="432"/>
      <c r="R115" s="432"/>
      <c r="S115" s="432"/>
      <c r="T115" s="432"/>
      <c r="U115" s="433"/>
      <c r="V115" s="434"/>
      <c r="W115" s="434"/>
      <c r="X115" s="434"/>
      <c r="Y115" s="439"/>
    </row>
    <row r="116" spans="1:25" ht="22.5" customHeight="1" thickTop="1" thickBot="1" x14ac:dyDescent="0.3">
      <c r="A116" s="434" t="s">
        <v>67</v>
      </c>
      <c r="B116" s="434" t="s">
        <v>71</v>
      </c>
      <c r="C116" s="426" t="s">
        <v>85</v>
      </c>
      <c r="D116" s="426" t="s">
        <v>85</v>
      </c>
      <c r="E116" s="434" t="s">
        <v>71</v>
      </c>
      <c r="F116" s="434" t="s">
        <v>71</v>
      </c>
      <c r="G116" s="426" t="s">
        <v>89</v>
      </c>
      <c r="H116" s="426" t="s">
        <v>89</v>
      </c>
      <c r="I116" s="426"/>
      <c r="J116" s="431" t="s">
        <v>202</v>
      </c>
      <c r="K116" s="432"/>
      <c r="L116" s="432"/>
      <c r="M116" s="432"/>
      <c r="N116" s="432"/>
      <c r="O116" s="432"/>
      <c r="P116" s="432"/>
      <c r="Q116" s="432"/>
      <c r="R116" s="432"/>
      <c r="S116" s="432"/>
      <c r="T116" s="432"/>
      <c r="U116" s="433"/>
      <c r="V116" s="434"/>
      <c r="W116" s="434"/>
      <c r="X116" s="434"/>
      <c r="Y116" s="439"/>
    </row>
    <row r="117" spans="1:25" ht="22.5" customHeight="1" thickTop="1" thickBot="1" x14ac:dyDescent="0.3">
      <c r="A117" s="434" t="s">
        <v>67</v>
      </c>
      <c r="B117" s="434" t="s">
        <v>71</v>
      </c>
      <c r="C117" s="426" t="s">
        <v>85</v>
      </c>
      <c r="D117" s="426" t="s">
        <v>85</v>
      </c>
      <c r="E117" s="434" t="s">
        <v>71</v>
      </c>
      <c r="F117" s="434" t="s">
        <v>71</v>
      </c>
      <c r="G117" s="426" t="s">
        <v>89</v>
      </c>
      <c r="H117" s="426" t="s">
        <v>91</v>
      </c>
      <c r="I117" s="426"/>
      <c r="J117" s="431" t="s">
        <v>203</v>
      </c>
      <c r="K117" s="432"/>
      <c r="L117" s="432"/>
      <c r="M117" s="432"/>
      <c r="N117" s="432"/>
      <c r="O117" s="432"/>
      <c r="P117" s="432"/>
      <c r="Q117" s="432"/>
      <c r="R117" s="432"/>
      <c r="S117" s="432"/>
      <c r="T117" s="432"/>
      <c r="U117" s="433"/>
      <c r="V117" s="434"/>
      <c r="W117" s="434"/>
      <c r="X117" s="434"/>
      <c r="Y117" s="439"/>
    </row>
    <row r="118" spans="1:25" ht="22.5" customHeight="1" thickTop="1" thickBot="1" x14ac:dyDescent="0.3">
      <c r="A118" s="434" t="s">
        <v>67</v>
      </c>
      <c r="B118" s="434" t="s">
        <v>71</v>
      </c>
      <c r="C118" s="426" t="s">
        <v>85</v>
      </c>
      <c r="D118" s="426" t="s">
        <v>85</v>
      </c>
      <c r="E118" s="434" t="s">
        <v>71</v>
      </c>
      <c r="F118" s="434" t="s">
        <v>71</v>
      </c>
      <c r="G118" s="426" t="s">
        <v>89</v>
      </c>
      <c r="H118" s="426" t="s">
        <v>93</v>
      </c>
      <c r="I118" s="426"/>
      <c r="J118" s="431" t="s">
        <v>204</v>
      </c>
      <c r="K118" s="432"/>
      <c r="L118" s="432"/>
      <c r="M118" s="432"/>
      <c r="N118" s="432"/>
      <c r="O118" s="432"/>
      <c r="P118" s="432"/>
      <c r="Q118" s="432"/>
      <c r="R118" s="432"/>
      <c r="S118" s="432"/>
      <c r="T118" s="432"/>
      <c r="U118" s="433"/>
      <c r="V118" s="434"/>
      <c r="W118" s="434"/>
      <c r="X118" s="434"/>
      <c r="Y118" s="439"/>
    </row>
    <row r="119" spans="1:25" ht="22.5" customHeight="1" thickTop="1" thickBot="1" x14ac:dyDescent="0.3">
      <c r="A119" s="434" t="s">
        <v>67</v>
      </c>
      <c r="B119" s="434" t="s">
        <v>71</v>
      </c>
      <c r="C119" s="426" t="s">
        <v>85</v>
      </c>
      <c r="D119" s="426" t="s">
        <v>85</v>
      </c>
      <c r="E119" s="434" t="s">
        <v>71</v>
      </c>
      <c r="F119" s="434" t="s">
        <v>71</v>
      </c>
      <c r="G119" s="426" t="s">
        <v>89</v>
      </c>
      <c r="H119" s="426" t="s">
        <v>95</v>
      </c>
      <c r="I119" s="426"/>
      <c r="J119" s="431" t="s">
        <v>205</v>
      </c>
      <c r="K119" s="432"/>
      <c r="L119" s="432"/>
      <c r="M119" s="432"/>
      <c r="N119" s="432"/>
      <c r="O119" s="432"/>
      <c r="P119" s="432"/>
      <c r="Q119" s="432"/>
      <c r="R119" s="432"/>
      <c r="S119" s="432"/>
      <c r="T119" s="432"/>
      <c r="U119" s="433"/>
      <c r="V119" s="434"/>
      <c r="W119" s="434"/>
      <c r="X119" s="434"/>
      <c r="Y119" s="439"/>
    </row>
    <row r="120" spans="1:25" ht="22.5" customHeight="1" thickTop="1" thickBot="1" x14ac:dyDescent="0.3">
      <c r="A120" s="434" t="s">
        <v>67</v>
      </c>
      <c r="B120" s="434" t="s">
        <v>71</v>
      </c>
      <c r="C120" s="426" t="s">
        <v>85</v>
      </c>
      <c r="D120" s="426" t="s">
        <v>85</v>
      </c>
      <c r="E120" s="434" t="s">
        <v>71</v>
      </c>
      <c r="F120" s="434" t="s">
        <v>71</v>
      </c>
      <c r="G120" s="426" t="s">
        <v>89</v>
      </c>
      <c r="H120" s="426" t="s">
        <v>97</v>
      </c>
      <c r="I120" s="426"/>
      <c r="J120" s="431" t="s">
        <v>202</v>
      </c>
      <c r="K120" s="432"/>
      <c r="L120" s="432"/>
      <c r="M120" s="432"/>
      <c r="N120" s="432"/>
      <c r="O120" s="432"/>
      <c r="P120" s="432"/>
      <c r="Q120" s="432"/>
      <c r="R120" s="432"/>
      <c r="S120" s="432"/>
      <c r="T120" s="432"/>
      <c r="U120" s="433"/>
      <c r="V120" s="434"/>
      <c r="W120" s="434"/>
      <c r="X120" s="434"/>
      <c r="Y120" s="439"/>
    </row>
    <row r="121" spans="1:25" ht="22.5" customHeight="1" thickTop="1" thickBot="1" x14ac:dyDescent="0.3">
      <c r="A121" s="434" t="s">
        <v>67</v>
      </c>
      <c r="B121" s="434" t="s">
        <v>71</v>
      </c>
      <c r="C121" s="426" t="s">
        <v>85</v>
      </c>
      <c r="D121" s="426" t="s">
        <v>85</v>
      </c>
      <c r="E121" s="434" t="s">
        <v>71</v>
      </c>
      <c r="F121" s="434" t="s">
        <v>71</v>
      </c>
      <c r="G121" s="425" t="s">
        <v>91</v>
      </c>
      <c r="H121" s="426"/>
      <c r="I121" s="426"/>
      <c r="J121" s="427" t="s">
        <v>206</v>
      </c>
      <c r="K121" s="437"/>
      <c r="L121" s="437"/>
      <c r="M121" s="437"/>
      <c r="N121" s="437"/>
      <c r="O121" s="437"/>
      <c r="P121" s="437"/>
      <c r="Q121" s="437"/>
      <c r="R121" s="437"/>
      <c r="S121" s="437"/>
      <c r="T121" s="437"/>
      <c r="U121" s="438"/>
      <c r="V121" s="434"/>
      <c r="W121" s="434"/>
      <c r="X121" s="434"/>
      <c r="Y121" s="439" t="s">
        <v>70</v>
      </c>
    </row>
    <row r="122" spans="1:25" ht="22.5" customHeight="1" thickTop="1" thickBot="1" x14ac:dyDescent="0.3">
      <c r="A122" s="434" t="s">
        <v>67</v>
      </c>
      <c r="B122" s="434" t="s">
        <v>71</v>
      </c>
      <c r="C122" s="426" t="s">
        <v>85</v>
      </c>
      <c r="D122" s="426" t="s">
        <v>85</v>
      </c>
      <c r="E122" s="434" t="s">
        <v>71</v>
      </c>
      <c r="F122" s="434" t="s">
        <v>71</v>
      </c>
      <c r="G122" s="426" t="s">
        <v>91</v>
      </c>
      <c r="H122" s="426" t="s">
        <v>71</v>
      </c>
      <c r="I122" s="426"/>
      <c r="J122" s="431" t="s">
        <v>207</v>
      </c>
      <c r="K122" s="437"/>
      <c r="L122" s="437"/>
      <c r="M122" s="437"/>
      <c r="N122" s="437"/>
      <c r="O122" s="437"/>
      <c r="P122" s="437"/>
      <c r="Q122" s="437"/>
      <c r="R122" s="437"/>
      <c r="S122" s="437"/>
      <c r="T122" s="437"/>
      <c r="U122" s="438"/>
      <c r="V122" s="434"/>
      <c r="W122" s="434"/>
      <c r="X122" s="434"/>
      <c r="Y122" s="439" t="s">
        <v>70</v>
      </c>
    </row>
    <row r="123" spans="1:25" ht="22.5" customHeight="1" thickTop="1" thickBot="1" x14ac:dyDescent="0.3">
      <c r="A123" s="434" t="s">
        <v>67</v>
      </c>
      <c r="B123" s="434" t="s">
        <v>71</v>
      </c>
      <c r="C123" s="426" t="s">
        <v>85</v>
      </c>
      <c r="D123" s="426" t="s">
        <v>85</v>
      </c>
      <c r="E123" s="434" t="s">
        <v>71</v>
      </c>
      <c r="F123" s="434" t="s">
        <v>71</v>
      </c>
      <c r="G123" s="426" t="s">
        <v>91</v>
      </c>
      <c r="H123" s="426" t="s">
        <v>85</v>
      </c>
      <c r="I123" s="426"/>
      <c r="J123" s="431" t="s">
        <v>208</v>
      </c>
      <c r="K123" s="437"/>
      <c r="L123" s="437"/>
      <c r="M123" s="437"/>
      <c r="N123" s="437"/>
      <c r="O123" s="437"/>
      <c r="P123" s="437"/>
      <c r="Q123" s="437"/>
      <c r="R123" s="437"/>
      <c r="S123" s="437"/>
      <c r="T123" s="437"/>
      <c r="U123" s="438"/>
      <c r="V123" s="434"/>
      <c r="W123" s="434"/>
      <c r="X123" s="434"/>
      <c r="Y123" s="439" t="s">
        <v>70</v>
      </c>
    </row>
    <row r="124" spans="1:25" ht="22.5" customHeight="1" thickTop="1" thickBot="1" x14ac:dyDescent="0.3">
      <c r="A124" s="434" t="s">
        <v>67</v>
      </c>
      <c r="B124" s="434" t="s">
        <v>71</v>
      </c>
      <c r="C124" s="426" t="s">
        <v>85</v>
      </c>
      <c r="D124" s="426" t="s">
        <v>85</v>
      </c>
      <c r="E124" s="434" t="s">
        <v>71</v>
      </c>
      <c r="F124" s="434" t="s">
        <v>71</v>
      </c>
      <c r="G124" s="426" t="s">
        <v>91</v>
      </c>
      <c r="H124" s="426" t="s">
        <v>87</v>
      </c>
      <c r="I124" s="426"/>
      <c r="J124" s="431" t="s">
        <v>209</v>
      </c>
      <c r="K124" s="437"/>
      <c r="L124" s="437"/>
      <c r="M124" s="437"/>
      <c r="N124" s="437"/>
      <c r="O124" s="437"/>
      <c r="P124" s="437"/>
      <c r="Q124" s="437"/>
      <c r="R124" s="437"/>
      <c r="S124" s="437"/>
      <c r="T124" s="437"/>
      <c r="U124" s="438"/>
      <c r="V124" s="434"/>
      <c r="W124" s="434"/>
      <c r="X124" s="434"/>
      <c r="Y124" s="439"/>
    </row>
    <row r="125" spans="1:25" ht="22.5" customHeight="1" thickTop="1" thickBot="1" x14ac:dyDescent="0.3">
      <c r="A125" s="434" t="s">
        <v>67</v>
      </c>
      <c r="B125" s="434" t="s">
        <v>71</v>
      </c>
      <c r="C125" s="426" t="s">
        <v>85</v>
      </c>
      <c r="D125" s="426" t="s">
        <v>85</v>
      </c>
      <c r="E125" s="434" t="s">
        <v>71</v>
      </c>
      <c r="F125" s="434" t="s">
        <v>71</v>
      </c>
      <c r="G125" s="426" t="s">
        <v>91</v>
      </c>
      <c r="H125" s="426" t="s">
        <v>89</v>
      </c>
      <c r="I125" s="426"/>
      <c r="J125" s="431" t="s">
        <v>210</v>
      </c>
      <c r="K125" s="437"/>
      <c r="L125" s="437"/>
      <c r="M125" s="437"/>
      <c r="N125" s="437"/>
      <c r="O125" s="437"/>
      <c r="P125" s="437"/>
      <c r="Q125" s="437"/>
      <c r="R125" s="437"/>
      <c r="S125" s="437"/>
      <c r="T125" s="437"/>
      <c r="U125" s="438"/>
      <c r="V125" s="434"/>
      <c r="W125" s="434"/>
      <c r="X125" s="434"/>
      <c r="Y125" s="439"/>
    </row>
    <row r="126" spans="1:25" ht="22.5" customHeight="1" thickTop="1" thickBot="1" x14ac:dyDescent="0.3">
      <c r="A126" s="434" t="s">
        <v>67</v>
      </c>
      <c r="B126" s="434" t="s">
        <v>71</v>
      </c>
      <c r="C126" s="426" t="s">
        <v>85</v>
      </c>
      <c r="D126" s="426" t="s">
        <v>85</v>
      </c>
      <c r="E126" s="434" t="s">
        <v>71</v>
      </c>
      <c r="F126" s="434" t="s">
        <v>71</v>
      </c>
      <c r="G126" s="426" t="s">
        <v>91</v>
      </c>
      <c r="H126" s="426" t="s">
        <v>91</v>
      </c>
      <c r="I126" s="426"/>
      <c r="J126" s="431" t="s">
        <v>211</v>
      </c>
      <c r="K126" s="437"/>
      <c r="L126" s="437"/>
      <c r="M126" s="437"/>
      <c r="N126" s="437"/>
      <c r="O126" s="437"/>
      <c r="P126" s="437"/>
      <c r="Q126" s="437"/>
      <c r="R126" s="437"/>
      <c r="S126" s="437"/>
      <c r="T126" s="437"/>
      <c r="U126" s="438"/>
      <c r="V126" s="434"/>
      <c r="W126" s="434"/>
      <c r="X126" s="434"/>
      <c r="Y126" s="439"/>
    </row>
    <row r="127" spans="1:25" ht="22.5" customHeight="1" thickTop="1" thickBot="1" x14ac:dyDescent="0.3">
      <c r="A127" s="434" t="s">
        <v>67</v>
      </c>
      <c r="B127" s="434" t="s">
        <v>71</v>
      </c>
      <c r="C127" s="426" t="s">
        <v>85</v>
      </c>
      <c r="D127" s="426" t="s">
        <v>85</v>
      </c>
      <c r="E127" s="434" t="s">
        <v>71</v>
      </c>
      <c r="F127" s="434" t="s">
        <v>71</v>
      </c>
      <c r="G127" s="426" t="s">
        <v>91</v>
      </c>
      <c r="H127" s="426" t="s">
        <v>93</v>
      </c>
      <c r="I127" s="426"/>
      <c r="J127" s="431" t="s">
        <v>212</v>
      </c>
      <c r="K127" s="437"/>
      <c r="L127" s="437"/>
      <c r="M127" s="437"/>
      <c r="N127" s="437"/>
      <c r="O127" s="437"/>
      <c r="P127" s="437"/>
      <c r="Q127" s="437"/>
      <c r="R127" s="437"/>
      <c r="S127" s="437"/>
      <c r="T127" s="437"/>
      <c r="U127" s="438"/>
      <c r="V127" s="434"/>
      <c r="W127" s="434"/>
      <c r="X127" s="434"/>
      <c r="Y127" s="439"/>
    </row>
    <row r="128" spans="1:25" ht="22.5" customHeight="1" thickTop="1" thickBot="1" x14ac:dyDescent="0.3">
      <c r="A128" s="434" t="s">
        <v>67</v>
      </c>
      <c r="B128" s="434" t="s">
        <v>71</v>
      </c>
      <c r="C128" s="426" t="s">
        <v>85</v>
      </c>
      <c r="D128" s="426" t="s">
        <v>85</v>
      </c>
      <c r="E128" s="434" t="s">
        <v>71</v>
      </c>
      <c r="F128" s="434" t="s">
        <v>71</v>
      </c>
      <c r="G128" s="426" t="s">
        <v>91</v>
      </c>
      <c r="H128" s="426" t="s">
        <v>95</v>
      </c>
      <c r="I128" s="426"/>
      <c r="J128" s="431" t="s">
        <v>213</v>
      </c>
      <c r="K128" s="437"/>
      <c r="L128" s="437"/>
      <c r="M128" s="437"/>
      <c r="N128" s="437"/>
      <c r="O128" s="437"/>
      <c r="P128" s="437"/>
      <c r="Q128" s="437"/>
      <c r="R128" s="437"/>
      <c r="S128" s="437"/>
      <c r="T128" s="437"/>
      <c r="U128" s="438"/>
      <c r="V128" s="434"/>
      <c r="W128" s="434"/>
      <c r="X128" s="434"/>
      <c r="Y128" s="439"/>
    </row>
    <row r="129" spans="1:25" ht="22.5" customHeight="1" thickTop="1" thickBot="1" x14ac:dyDescent="0.3">
      <c r="A129" s="434" t="s">
        <v>67</v>
      </c>
      <c r="B129" s="434" t="s">
        <v>71</v>
      </c>
      <c r="C129" s="426" t="s">
        <v>85</v>
      </c>
      <c r="D129" s="426" t="s">
        <v>85</v>
      </c>
      <c r="E129" s="434" t="s">
        <v>71</v>
      </c>
      <c r="F129" s="434" t="s">
        <v>71</v>
      </c>
      <c r="G129" s="426" t="s">
        <v>91</v>
      </c>
      <c r="H129" s="426" t="s">
        <v>97</v>
      </c>
      <c r="I129" s="426"/>
      <c r="J129" s="431" t="s">
        <v>210</v>
      </c>
      <c r="K129" s="437"/>
      <c r="L129" s="437"/>
      <c r="M129" s="437"/>
      <c r="N129" s="437"/>
      <c r="O129" s="437"/>
      <c r="P129" s="437"/>
      <c r="Q129" s="437"/>
      <c r="R129" s="437"/>
      <c r="S129" s="437"/>
      <c r="T129" s="437"/>
      <c r="U129" s="438"/>
      <c r="V129" s="434"/>
      <c r="W129" s="434"/>
      <c r="X129" s="434"/>
      <c r="Y129" s="439"/>
    </row>
    <row r="130" spans="1:25" ht="22.5" customHeight="1" thickTop="1" thickBot="1" x14ac:dyDescent="0.3">
      <c r="A130" s="419">
        <v>1</v>
      </c>
      <c r="B130" s="420" t="s">
        <v>71</v>
      </c>
      <c r="C130" s="420" t="s">
        <v>85</v>
      </c>
      <c r="D130" s="420" t="s">
        <v>85</v>
      </c>
      <c r="E130" s="420" t="s">
        <v>85</v>
      </c>
      <c r="F130" s="421"/>
      <c r="G130" s="421"/>
      <c r="H130" s="421"/>
      <c r="I130" s="421"/>
      <c r="J130" s="422" t="s">
        <v>214</v>
      </c>
      <c r="K130" s="440"/>
      <c r="L130" s="440"/>
      <c r="M130" s="440"/>
      <c r="N130" s="440"/>
      <c r="O130" s="440"/>
      <c r="P130" s="440"/>
      <c r="Q130" s="440"/>
      <c r="R130" s="440"/>
      <c r="S130" s="440"/>
      <c r="T130" s="440"/>
      <c r="U130" s="424"/>
      <c r="V130" s="420"/>
      <c r="W130" s="419" t="s">
        <v>215</v>
      </c>
      <c r="X130" s="419" t="s">
        <v>216</v>
      </c>
      <c r="Y130" s="406" t="s">
        <v>70</v>
      </c>
    </row>
    <row r="131" spans="1:25" ht="22.5" customHeight="1" thickTop="1" thickBot="1" x14ac:dyDescent="0.3">
      <c r="A131" s="434">
        <v>1</v>
      </c>
      <c r="B131" s="434" t="s">
        <v>71</v>
      </c>
      <c r="C131" s="426" t="s">
        <v>85</v>
      </c>
      <c r="D131" s="426" t="s">
        <v>85</v>
      </c>
      <c r="E131" s="434" t="s">
        <v>85</v>
      </c>
      <c r="F131" s="425" t="s">
        <v>71</v>
      </c>
      <c r="G131" s="426"/>
      <c r="H131" s="426"/>
      <c r="I131" s="426"/>
      <c r="J131" s="427" t="s">
        <v>217</v>
      </c>
      <c r="K131" s="441"/>
      <c r="L131" s="441"/>
      <c r="M131" s="441"/>
      <c r="N131" s="441"/>
      <c r="O131" s="441"/>
      <c r="P131" s="441"/>
      <c r="Q131" s="441"/>
      <c r="R131" s="441"/>
      <c r="S131" s="441"/>
      <c r="T131" s="441"/>
      <c r="U131" s="436"/>
      <c r="V131" s="425"/>
      <c r="W131" s="434" t="s">
        <v>218</v>
      </c>
      <c r="X131" s="434"/>
      <c r="Y131" s="406" t="s">
        <v>70</v>
      </c>
    </row>
    <row r="132" spans="1:25" ht="22.5" customHeight="1" thickTop="1" thickBot="1" x14ac:dyDescent="0.3">
      <c r="A132" s="434">
        <v>1</v>
      </c>
      <c r="B132" s="434" t="s">
        <v>71</v>
      </c>
      <c r="C132" s="426" t="s">
        <v>85</v>
      </c>
      <c r="D132" s="426" t="s">
        <v>85</v>
      </c>
      <c r="E132" s="434" t="s">
        <v>85</v>
      </c>
      <c r="F132" s="426" t="s">
        <v>71</v>
      </c>
      <c r="G132" s="425" t="s">
        <v>71</v>
      </c>
      <c r="H132" s="426"/>
      <c r="I132" s="426"/>
      <c r="J132" s="431" t="s">
        <v>219</v>
      </c>
      <c r="K132" s="442"/>
      <c r="L132" s="442"/>
      <c r="M132" s="442"/>
      <c r="N132" s="442"/>
      <c r="O132" s="442"/>
      <c r="P132" s="442"/>
      <c r="Q132" s="442"/>
      <c r="R132" s="442"/>
      <c r="S132" s="442"/>
      <c r="T132" s="442"/>
      <c r="U132" s="438"/>
      <c r="V132" s="425"/>
      <c r="W132" s="434"/>
      <c r="X132" s="434"/>
      <c r="Y132" s="406" t="s">
        <v>70</v>
      </c>
    </row>
    <row r="133" spans="1:25" ht="22.5" customHeight="1" thickTop="1" thickBot="1" x14ac:dyDescent="0.3">
      <c r="A133" s="434">
        <v>1</v>
      </c>
      <c r="B133" s="434" t="s">
        <v>71</v>
      </c>
      <c r="C133" s="426" t="s">
        <v>85</v>
      </c>
      <c r="D133" s="426" t="s">
        <v>85</v>
      </c>
      <c r="E133" s="434" t="s">
        <v>85</v>
      </c>
      <c r="F133" s="426" t="s">
        <v>71</v>
      </c>
      <c r="G133" s="425" t="s">
        <v>85</v>
      </c>
      <c r="H133" s="426"/>
      <c r="I133" s="426"/>
      <c r="J133" s="431" t="s">
        <v>220</v>
      </c>
      <c r="K133" s="442"/>
      <c r="L133" s="442"/>
      <c r="M133" s="442"/>
      <c r="N133" s="442"/>
      <c r="O133" s="442"/>
      <c r="P133" s="442"/>
      <c r="Q133" s="442"/>
      <c r="R133" s="442"/>
      <c r="S133" s="442"/>
      <c r="T133" s="442"/>
      <c r="U133" s="438"/>
      <c r="V133" s="425"/>
      <c r="W133" s="434"/>
      <c r="X133" s="434"/>
      <c r="Y133" s="406" t="s">
        <v>70</v>
      </c>
    </row>
    <row r="134" spans="1:25" ht="22.5" customHeight="1" thickTop="1" thickBot="1" x14ac:dyDescent="0.3">
      <c r="A134" s="434">
        <v>1</v>
      </c>
      <c r="B134" s="434" t="s">
        <v>71</v>
      </c>
      <c r="C134" s="426" t="s">
        <v>85</v>
      </c>
      <c r="D134" s="426" t="s">
        <v>85</v>
      </c>
      <c r="E134" s="434" t="s">
        <v>85</v>
      </c>
      <c r="F134" s="426" t="s">
        <v>71</v>
      </c>
      <c r="G134" s="425" t="s">
        <v>87</v>
      </c>
      <c r="H134" s="426"/>
      <c r="I134" s="426"/>
      <c r="J134" s="431" t="s">
        <v>221</v>
      </c>
      <c r="K134" s="442"/>
      <c r="L134" s="442"/>
      <c r="M134" s="442"/>
      <c r="N134" s="442"/>
      <c r="O134" s="442"/>
      <c r="P134" s="442"/>
      <c r="Q134" s="442"/>
      <c r="R134" s="442"/>
      <c r="S134" s="442"/>
      <c r="T134" s="442"/>
      <c r="U134" s="438"/>
      <c r="V134" s="425"/>
      <c r="W134" s="434"/>
      <c r="X134" s="434"/>
      <c r="Y134" s="406"/>
    </row>
    <row r="135" spans="1:25" ht="22.5" customHeight="1" thickTop="1" thickBot="1" x14ac:dyDescent="0.3">
      <c r="A135" s="434">
        <v>1</v>
      </c>
      <c r="B135" s="434" t="s">
        <v>71</v>
      </c>
      <c r="C135" s="426" t="s">
        <v>85</v>
      </c>
      <c r="D135" s="426" t="s">
        <v>85</v>
      </c>
      <c r="E135" s="434" t="s">
        <v>85</v>
      </c>
      <c r="F135" s="426" t="s">
        <v>71</v>
      </c>
      <c r="G135" s="425" t="s">
        <v>89</v>
      </c>
      <c r="H135" s="426"/>
      <c r="I135" s="426"/>
      <c r="J135" s="431" t="s">
        <v>222</v>
      </c>
      <c r="K135" s="442"/>
      <c r="L135" s="442"/>
      <c r="M135" s="442"/>
      <c r="N135" s="442"/>
      <c r="O135" s="442"/>
      <c r="P135" s="442"/>
      <c r="Q135" s="442"/>
      <c r="R135" s="442"/>
      <c r="S135" s="442"/>
      <c r="T135" s="442"/>
      <c r="U135" s="438"/>
      <c r="V135" s="425"/>
      <c r="W135" s="434"/>
      <c r="X135" s="434"/>
      <c r="Y135" s="406"/>
    </row>
    <row r="136" spans="1:25" ht="22.5" customHeight="1" thickTop="1" thickBot="1" x14ac:dyDescent="0.3">
      <c r="A136" s="434">
        <v>1</v>
      </c>
      <c r="B136" s="434" t="s">
        <v>71</v>
      </c>
      <c r="C136" s="426" t="s">
        <v>85</v>
      </c>
      <c r="D136" s="426" t="s">
        <v>85</v>
      </c>
      <c r="E136" s="434" t="s">
        <v>85</v>
      </c>
      <c r="F136" s="426" t="s">
        <v>71</v>
      </c>
      <c r="G136" s="425" t="s">
        <v>91</v>
      </c>
      <c r="H136" s="426"/>
      <c r="I136" s="426"/>
      <c r="J136" s="431" t="s">
        <v>223</v>
      </c>
      <c r="K136" s="442"/>
      <c r="L136" s="442"/>
      <c r="M136" s="442"/>
      <c r="N136" s="442"/>
      <c r="O136" s="442"/>
      <c r="P136" s="442"/>
      <c r="Q136" s="442"/>
      <c r="R136" s="442"/>
      <c r="S136" s="442"/>
      <c r="T136" s="442"/>
      <c r="U136" s="438"/>
      <c r="V136" s="425"/>
      <c r="W136" s="434"/>
      <c r="X136" s="434"/>
      <c r="Y136" s="406"/>
    </row>
    <row r="137" spans="1:25" ht="22.5" customHeight="1" thickTop="1" thickBot="1" x14ac:dyDescent="0.3">
      <c r="A137" s="434">
        <v>1</v>
      </c>
      <c r="B137" s="434" t="s">
        <v>71</v>
      </c>
      <c r="C137" s="426" t="s">
        <v>85</v>
      </c>
      <c r="D137" s="426" t="s">
        <v>85</v>
      </c>
      <c r="E137" s="434" t="s">
        <v>85</v>
      </c>
      <c r="F137" s="426" t="s">
        <v>71</v>
      </c>
      <c r="G137" s="425" t="s">
        <v>93</v>
      </c>
      <c r="H137" s="426"/>
      <c r="I137" s="426"/>
      <c r="J137" s="431" t="s">
        <v>224</v>
      </c>
      <c r="K137" s="442"/>
      <c r="L137" s="442"/>
      <c r="M137" s="442"/>
      <c r="N137" s="442"/>
      <c r="O137" s="442"/>
      <c r="P137" s="442"/>
      <c r="Q137" s="442"/>
      <c r="R137" s="442"/>
      <c r="S137" s="442"/>
      <c r="T137" s="442"/>
      <c r="U137" s="438"/>
      <c r="V137" s="425"/>
      <c r="W137" s="434"/>
      <c r="X137" s="434"/>
      <c r="Y137" s="406"/>
    </row>
    <row r="138" spans="1:25" ht="22.5" customHeight="1" thickTop="1" thickBot="1" x14ac:dyDescent="0.3">
      <c r="A138" s="434">
        <v>1</v>
      </c>
      <c r="B138" s="434" t="s">
        <v>71</v>
      </c>
      <c r="C138" s="426" t="s">
        <v>85</v>
      </c>
      <c r="D138" s="426" t="s">
        <v>85</v>
      </c>
      <c r="E138" s="434" t="s">
        <v>85</v>
      </c>
      <c r="F138" s="426" t="s">
        <v>71</v>
      </c>
      <c r="G138" s="425" t="s">
        <v>95</v>
      </c>
      <c r="H138" s="426"/>
      <c r="I138" s="426"/>
      <c r="J138" s="431" t="s">
        <v>225</v>
      </c>
      <c r="K138" s="442"/>
      <c r="L138" s="442"/>
      <c r="M138" s="442"/>
      <c r="N138" s="442"/>
      <c r="O138" s="442"/>
      <c r="P138" s="442"/>
      <c r="Q138" s="442"/>
      <c r="R138" s="442"/>
      <c r="S138" s="442"/>
      <c r="T138" s="442"/>
      <c r="U138" s="438"/>
      <c r="V138" s="425"/>
      <c r="W138" s="434"/>
      <c r="X138" s="434"/>
      <c r="Y138" s="406"/>
    </row>
    <row r="139" spans="1:25" ht="22.5" customHeight="1" thickTop="1" thickBot="1" x14ac:dyDescent="0.3">
      <c r="A139" s="434">
        <v>1</v>
      </c>
      <c r="B139" s="434" t="s">
        <v>71</v>
      </c>
      <c r="C139" s="426" t="s">
        <v>85</v>
      </c>
      <c r="D139" s="426" t="s">
        <v>85</v>
      </c>
      <c r="E139" s="434" t="s">
        <v>85</v>
      </c>
      <c r="F139" s="426" t="s">
        <v>71</v>
      </c>
      <c r="G139" s="425" t="s">
        <v>97</v>
      </c>
      <c r="H139" s="426"/>
      <c r="I139" s="426"/>
      <c r="J139" s="431" t="s">
        <v>222</v>
      </c>
      <c r="K139" s="442"/>
      <c r="L139" s="442"/>
      <c r="M139" s="442"/>
      <c r="N139" s="442"/>
      <c r="O139" s="442"/>
      <c r="P139" s="442"/>
      <c r="Q139" s="442"/>
      <c r="R139" s="442"/>
      <c r="S139" s="442"/>
      <c r="T139" s="442"/>
      <c r="U139" s="438"/>
      <c r="V139" s="425"/>
      <c r="W139" s="434"/>
      <c r="X139" s="434"/>
      <c r="Y139" s="406"/>
    </row>
    <row r="140" spans="1:25" ht="22.5" customHeight="1" thickTop="1" thickBot="1" x14ac:dyDescent="0.3">
      <c r="A140" s="434">
        <v>1</v>
      </c>
      <c r="B140" s="434" t="s">
        <v>71</v>
      </c>
      <c r="C140" s="426" t="s">
        <v>85</v>
      </c>
      <c r="D140" s="426" t="s">
        <v>85</v>
      </c>
      <c r="E140" s="434" t="s">
        <v>85</v>
      </c>
      <c r="F140" s="425" t="s">
        <v>85</v>
      </c>
      <c r="G140" s="426"/>
      <c r="H140" s="426"/>
      <c r="I140" s="426"/>
      <c r="J140" s="427" t="s">
        <v>226</v>
      </c>
      <c r="K140" s="441"/>
      <c r="L140" s="441"/>
      <c r="M140" s="441"/>
      <c r="N140" s="441"/>
      <c r="O140" s="441"/>
      <c r="P140" s="441"/>
      <c r="Q140" s="441"/>
      <c r="R140" s="441"/>
      <c r="S140" s="441"/>
      <c r="T140" s="441"/>
      <c r="U140" s="436"/>
      <c r="V140" s="425"/>
      <c r="W140" s="434" t="s">
        <v>218</v>
      </c>
      <c r="X140" s="434"/>
      <c r="Y140" s="406" t="s">
        <v>70</v>
      </c>
    </row>
    <row r="141" spans="1:25" ht="22.5" customHeight="1" thickTop="1" thickBot="1" x14ac:dyDescent="0.3">
      <c r="A141" s="434">
        <v>1</v>
      </c>
      <c r="B141" s="434" t="s">
        <v>71</v>
      </c>
      <c r="C141" s="426" t="s">
        <v>85</v>
      </c>
      <c r="D141" s="426" t="s">
        <v>85</v>
      </c>
      <c r="E141" s="434" t="s">
        <v>85</v>
      </c>
      <c r="F141" s="426" t="s">
        <v>85</v>
      </c>
      <c r="G141" s="425" t="s">
        <v>71</v>
      </c>
      <c r="H141" s="426"/>
      <c r="I141" s="426"/>
      <c r="J141" s="431" t="s">
        <v>227</v>
      </c>
      <c r="K141" s="442"/>
      <c r="L141" s="442"/>
      <c r="M141" s="442"/>
      <c r="N141" s="442"/>
      <c r="O141" s="442"/>
      <c r="P141" s="442"/>
      <c r="Q141" s="442"/>
      <c r="R141" s="442"/>
      <c r="S141" s="442"/>
      <c r="T141" s="442"/>
      <c r="U141" s="438"/>
      <c r="V141" s="425"/>
      <c r="W141" s="434"/>
      <c r="X141" s="434"/>
      <c r="Y141" s="406" t="s">
        <v>70</v>
      </c>
    </row>
    <row r="142" spans="1:25" ht="22.5" customHeight="1" thickTop="1" thickBot="1" x14ac:dyDescent="0.3">
      <c r="A142" s="434">
        <v>1</v>
      </c>
      <c r="B142" s="434" t="s">
        <v>71</v>
      </c>
      <c r="C142" s="426" t="s">
        <v>85</v>
      </c>
      <c r="D142" s="426" t="s">
        <v>85</v>
      </c>
      <c r="E142" s="434" t="s">
        <v>85</v>
      </c>
      <c r="F142" s="426" t="s">
        <v>85</v>
      </c>
      <c r="G142" s="425" t="s">
        <v>85</v>
      </c>
      <c r="H142" s="426"/>
      <c r="I142" s="426"/>
      <c r="J142" s="431" t="s">
        <v>228</v>
      </c>
      <c r="K142" s="442"/>
      <c r="L142" s="442"/>
      <c r="M142" s="442"/>
      <c r="N142" s="442"/>
      <c r="O142" s="442"/>
      <c r="P142" s="442"/>
      <c r="Q142" s="442"/>
      <c r="R142" s="442"/>
      <c r="S142" s="442"/>
      <c r="T142" s="442"/>
      <c r="U142" s="438"/>
      <c r="V142" s="425"/>
      <c r="W142" s="434"/>
      <c r="X142" s="434"/>
      <c r="Y142" s="406" t="s">
        <v>70</v>
      </c>
    </row>
    <row r="143" spans="1:25" ht="22.5" customHeight="1" thickTop="1" thickBot="1" x14ac:dyDescent="0.3">
      <c r="A143" s="434">
        <v>1</v>
      </c>
      <c r="B143" s="434" t="s">
        <v>71</v>
      </c>
      <c r="C143" s="426" t="s">
        <v>85</v>
      </c>
      <c r="D143" s="426" t="s">
        <v>85</v>
      </c>
      <c r="E143" s="434" t="s">
        <v>85</v>
      </c>
      <c r="F143" s="426" t="s">
        <v>85</v>
      </c>
      <c r="G143" s="425" t="s">
        <v>87</v>
      </c>
      <c r="H143" s="426"/>
      <c r="I143" s="426"/>
      <c r="J143" s="431" t="s">
        <v>229</v>
      </c>
      <c r="K143" s="442"/>
      <c r="L143" s="442"/>
      <c r="M143" s="442"/>
      <c r="N143" s="442"/>
      <c r="O143" s="442"/>
      <c r="P143" s="442"/>
      <c r="Q143" s="442"/>
      <c r="R143" s="442"/>
      <c r="S143" s="442"/>
      <c r="T143" s="442"/>
      <c r="U143" s="438"/>
      <c r="V143" s="425"/>
      <c r="W143" s="434"/>
      <c r="X143" s="434"/>
      <c r="Y143" s="406"/>
    </row>
    <row r="144" spans="1:25" ht="22.5" customHeight="1" thickTop="1" thickBot="1" x14ac:dyDescent="0.3">
      <c r="A144" s="434">
        <v>1</v>
      </c>
      <c r="B144" s="434" t="s">
        <v>71</v>
      </c>
      <c r="C144" s="426" t="s">
        <v>85</v>
      </c>
      <c r="D144" s="426" t="s">
        <v>85</v>
      </c>
      <c r="E144" s="434" t="s">
        <v>85</v>
      </c>
      <c r="F144" s="426" t="s">
        <v>85</v>
      </c>
      <c r="G144" s="425" t="s">
        <v>89</v>
      </c>
      <c r="H144" s="426"/>
      <c r="I144" s="426"/>
      <c r="J144" s="431" t="s">
        <v>230</v>
      </c>
      <c r="K144" s="442"/>
      <c r="L144" s="442"/>
      <c r="M144" s="442"/>
      <c r="N144" s="442"/>
      <c r="O144" s="442"/>
      <c r="P144" s="442"/>
      <c r="Q144" s="442"/>
      <c r="R144" s="442"/>
      <c r="S144" s="442"/>
      <c r="T144" s="442"/>
      <c r="U144" s="438"/>
      <c r="V144" s="425"/>
      <c r="W144" s="434"/>
      <c r="X144" s="434"/>
      <c r="Y144" s="406"/>
    </row>
    <row r="145" spans="1:25" ht="22.5" customHeight="1" thickTop="1" thickBot="1" x14ac:dyDescent="0.3">
      <c r="A145" s="434">
        <v>1</v>
      </c>
      <c r="B145" s="434" t="s">
        <v>71</v>
      </c>
      <c r="C145" s="426" t="s">
        <v>85</v>
      </c>
      <c r="D145" s="426" t="s">
        <v>85</v>
      </c>
      <c r="E145" s="434" t="s">
        <v>85</v>
      </c>
      <c r="F145" s="426" t="s">
        <v>85</v>
      </c>
      <c r="G145" s="425" t="s">
        <v>91</v>
      </c>
      <c r="H145" s="426"/>
      <c r="I145" s="426"/>
      <c r="J145" s="431" t="s">
        <v>231</v>
      </c>
      <c r="K145" s="442"/>
      <c r="L145" s="442"/>
      <c r="M145" s="442"/>
      <c r="N145" s="442"/>
      <c r="O145" s="442"/>
      <c r="P145" s="442"/>
      <c r="Q145" s="442"/>
      <c r="R145" s="442"/>
      <c r="S145" s="442"/>
      <c r="T145" s="442"/>
      <c r="U145" s="438"/>
      <c r="V145" s="425"/>
      <c r="W145" s="434"/>
      <c r="X145" s="434"/>
      <c r="Y145" s="406"/>
    </row>
    <row r="146" spans="1:25" ht="22.5" customHeight="1" thickTop="1" thickBot="1" x14ac:dyDescent="0.3">
      <c r="A146" s="434">
        <v>1</v>
      </c>
      <c r="B146" s="434" t="s">
        <v>71</v>
      </c>
      <c r="C146" s="426" t="s">
        <v>85</v>
      </c>
      <c r="D146" s="426" t="s">
        <v>85</v>
      </c>
      <c r="E146" s="434" t="s">
        <v>85</v>
      </c>
      <c r="F146" s="426" t="s">
        <v>85</v>
      </c>
      <c r="G146" s="425" t="s">
        <v>93</v>
      </c>
      <c r="H146" s="426"/>
      <c r="I146" s="426"/>
      <c r="J146" s="431" t="s">
        <v>232</v>
      </c>
      <c r="K146" s="442"/>
      <c r="L146" s="442"/>
      <c r="M146" s="442"/>
      <c r="N146" s="442"/>
      <c r="O146" s="442"/>
      <c r="P146" s="442"/>
      <c r="Q146" s="442"/>
      <c r="R146" s="442"/>
      <c r="S146" s="442"/>
      <c r="T146" s="442"/>
      <c r="U146" s="438"/>
      <c r="V146" s="425"/>
      <c r="W146" s="434"/>
      <c r="X146" s="434"/>
      <c r="Y146" s="406"/>
    </row>
    <row r="147" spans="1:25" ht="22.5" customHeight="1" thickTop="1" thickBot="1" x14ac:dyDescent="0.3">
      <c r="A147" s="434">
        <v>1</v>
      </c>
      <c r="B147" s="434" t="s">
        <v>71</v>
      </c>
      <c r="C147" s="426" t="s">
        <v>85</v>
      </c>
      <c r="D147" s="426" t="s">
        <v>85</v>
      </c>
      <c r="E147" s="434" t="s">
        <v>85</v>
      </c>
      <c r="F147" s="426" t="s">
        <v>85</v>
      </c>
      <c r="G147" s="425" t="s">
        <v>95</v>
      </c>
      <c r="H147" s="426"/>
      <c r="I147" s="426"/>
      <c r="J147" s="431" t="s">
        <v>233</v>
      </c>
      <c r="K147" s="442"/>
      <c r="L147" s="442"/>
      <c r="M147" s="442"/>
      <c r="N147" s="442"/>
      <c r="O147" s="442"/>
      <c r="P147" s="442"/>
      <c r="Q147" s="442"/>
      <c r="R147" s="442"/>
      <c r="S147" s="442"/>
      <c r="T147" s="442"/>
      <c r="U147" s="438"/>
      <c r="V147" s="425"/>
      <c r="W147" s="434"/>
      <c r="X147" s="434"/>
      <c r="Y147" s="406"/>
    </row>
    <row r="148" spans="1:25" ht="22.5" customHeight="1" thickTop="1" thickBot="1" x14ac:dyDescent="0.3">
      <c r="A148" s="434">
        <v>1</v>
      </c>
      <c r="B148" s="434" t="s">
        <v>71</v>
      </c>
      <c r="C148" s="426" t="s">
        <v>85</v>
      </c>
      <c r="D148" s="426" t="s">
        <v>85</v>
      </c>
      <c r="E148" s="434" t="s">
        <v>85</v>
      </c>
      <c r="F148" s="426" t="s">
        <v>85</v>
      </c>
      <c r="G148" s="425" t="s">
        <v>97</v>
      </c>
      <c r="H148" s="426"/>
      <c r="I148" s="426"/>
      <c r="J148" s="431" t="s">
        <v>230</v>
      </c>
      <c r="K148" s="442"/>
      <c r="L148" s="442"/>
      <c r="M148" s="442"/>
      <c r="N148" s="442"/>
      <c r="O148" s="442"/>
      <c r="P148" s="442"/>
      <c r="Q148" s="442"/>
      <c r="R148" s="442"/>
      <c r="S148" s="442"/>
      <c r="T148" s="442"/>
      <c r="U148" s="438"/>
      <c r="V148" s="425"/>
      <c r="W148" s="434"/>
      <c r="X148" s="434"/>
      <c r="Y148" s="406"/>
    </row>
    <row r="149" spans="1:25" ht="22.5" customHeight="1" thickTop="1" thickBot="1" x14ac:dyDescent="0.3">
      <c r="A149" s="434">
        <v>1</v>
      </c>
      <c r="B149" s="434" t="s">
        <v>71</v>
      </c>
      <c r="C149" s="426" t="s">
        <v>85</v>
      </c>
      <c r="D149" s="426" t="s">
        <v>85</v>
      </c>
      <c r="E149" s="434" t="s">
        <v>85</v>
      </c>
      <c r="F149" s="425" t="s">
        <v>87</v>
      </c>
      <c r="G149" s="426"/>
      <c r="H149" s="426"/>
      <c r="I149" s="426"/>
      <c r="J149" s="427" t="s">
        <v>234</v>
      </c>
      <c r="K149" s="441"/>
      <c r="L149" s="441"/>
      <c r="M149" s="441"/>
      <c r="N149" s="441"/>
      <c r="O149" s="441"/>
      <c r="P149" s="441"/>
      <c r="Q149" s="441"/>
      <c r="R149" s="441"/>
      <c r="S149" s="441"/>
      <c r="T149" s="441"/>
      <c r="U149" s="436"/>
      <c r="V149" s="425"/>
      <c r="W149" s="434"/>
      <c r="X149" s="434"/>
      <c r="Y149" s="406" t="s">
        <v>70</v>
      </c>
    </row>
    <row r="150" spans="1:25" ht="22.5" customHeight="1" thickTop="1" thickBot="1" x14ac:dyDescent="0.3">
      <c r="A150" s="434">
        <v>1</v>
      </c>
      <c r="B150" s="434" t="s">
        <v>71</v>
      </c>
      <c r="C150" s="426" t="s">
        <v>85</v>
      </c>
      <c r="D150" s="426" t="s">
        <v>85</v>
      </c>
      <c r="E150" s="434" t="s">
        <v>85</v>
      </c>
      <c r="F150" s="426" t="s">
        <v>87</v>
      </c>
      <c r="G150" s="425" t="s">
        <v>71</v>
      </c>
      <c r="H150" s="426"/>
      <c r="I150" s="426"/>
      <c r="J150" s="431" t="s">
        <v>235</v>
      </c>
      <c r="K150" s="442"/>
      <c r="L150" s="442"/>
      <c r="M150" s="442"/>
      <c r="N150" s="442"/>
      <c r="O150" s="442"/>
      <c r="P150" s="442"/>
      <c r="Q150" s="442"/>
      <c r="R150" s="442"/>
      <c r="S150" s="442"/>
      <c r="T150" s="442"/>
      <c r="U150" s="438"/>
      <c r="V150" s="425"/>
      <c r="W150" s="434"/>
      <c r="X150" s="434"/>
      <c r="Y150" s="406" t="s">
        <v>70</v>
      </c>
    </row>
    <row r="151" spans="1:25" ht="22.5" customHeight="1" thickTop="1" thickBot="1" x14ac:dyDescent="0.3">
      <c r="A151" s="434">
        <v>1</v>
      </c>
      <c r="B151" s="434" t="s">
        <v>71</v>
      </c>
      <c r="C151" s="426" t="s">
        <v>85</v>
      </c>
      <c r="D151" s="426" t="s">
        <v>85</v>
      </c>
      <c r="E151" s="434" t="s">
        <v>85</v>
      </c>
      <c r="F151" s="426" t="s">
        <v>87</v>
      </c>
      <c r="G151" s="425" t="s">
        <v>85</v>
      </c>
      <c r="H151" s="426"/>
      <c r="I151" s="426"/>
      <c r="J151" s="431" t="s">
        <v>236</v>
      </c>
      <c r="K151" s="442"/>
      <c r="L151" s="442"/>
      <c r="M151" s="442"/>
      <c r="N151" s="442"/>
      <c r="O151" s="442"/>
      <c r="P151" s="442"/>
      <c r="Q151" s="442"/>
      <c r="R151" s="442"/>
      <c r="S151" s="442"/>
      <c r="T151" s="442"/>
      <c r="U151" s="438"/>
      <c r="V151" s="425"/>
      <c r="W151" s="434"/>
      <c r="X151" s="434"/>
      <c r="Y151" s="406" t="s">
        <v>70</v>
      </c>
    </row>
    <row r="152" spans="1:25" ht="22.5" customHeight="1" thickTop="1" thickBot="1" x14ac:dyDescent="0.3">
      <c r="A152" s="434">
        <v>1</v>
      </c>
      <c r="B152" s="434" t="s">
        <v>71</v>
      </c>
      <c r="C152" s="426" t="s">
        <v>85</v>
      </c>
      <c r="D152" s="426" t="s">
        <v>85</v>
      </c>
      <c r="E152" s="434" t="s">
        <v>85</v>
      </c>
      <c r="F152" s="426" t="s">
        <v>87</v>
      </c>
      <c r="G152" s="425" t="s">
        <v>87</v>
      </c>
      <c r="H152" s="426"/>
      <c r="I152" s="426"/>
      <c r="J152" s="431" t="s">
        <v>237</v>
      </c>
      <c r="K152" s="442"/>
      <c r="L152" s="442"/>
      <c r="M152" s="442"/>
      <c r="N152" s="442"/>
      <c r="O152" s="442"/>
      <c r="P152" s="442"/>
      <c r="Q152" s="442"/>
      <c r="R152" s="442"/>
      <c r="S152" s="442"/>
      <c r="T152" s="442"/>
      <c r="U152" s="438"/>
      <c r="V152" s="425"/>
      <c r="W152" s="434"/>
      <c r="X152" s="434"/>
      <c r="Y152" s="406"/>
    </row>
    <row r="153" spans="1:25" ht="22.5" customHeight="1" thickTop="1" thickBot="1" x14ac:dyDescent="0.3">
      <c r="A153" s="434">
        <v>1</v>
      </c>
      <c r="B153" s="434" t="s">
        <v>71</v>
      </c>
      <c r="C153" s="426" t="s">
        <v>85</v>
      </c>
      <c r="D153" s="426" t="s">
        <v>85</v>
      </c>
      <c r="E153" s="434" t="s">
        <v>85</v>
      </c>
      <c r="F153" s="426" t="s">
        <v>87</v>
      </c>
      <c r="G153" s="425" t="s">
        <v>89</v>
      </c>
      <c r="H153" s="426"/>
      <c r="I153" s="426"/>
      <c r="J153" s="431" t="s">
        <v>238</v>
      </c>
      <c r="K153" s="442"/>
      <c r="L153" s="442"/>
      <c r="M153" s="442"/>
      <c r="N153" s="442"/>
      <c r="O153" s="442"/>
      <c r="P153" s="442"/>
      <c r="Q153" s="442"/>
      <c r="R153" s="442"/>
      <c r="S153" s="442"/>
      <c r="T153" s="442"/>
      <c r="U153" s="438"/>
      <c r="V153" s="425"/>
      <c r="W153" s="434"/>
      <c r="X153" s="434"/>
      <c r="Y153" s="406"/>
    </row>
    <row r="154" spans="1:25" ht="22.5" customHeight="1" thickTop="1" thickBot="1" x14ac:dyDescent="0.3">
      <c r="A154" s="434">
        <v>1</v>
      </c>
      <c r="B154" s="434" t="s">
        <v>71</v>
      </c>
      <c r="C154" s="426" t="s">
        <v>85</v>
      </c>
      <c r="D154" s="426" t="s">
        <v>85</v>
      </c>
      <c r="E154" s="434" t="s">
        <v>85</v>
      </c>
      <c r="F154" s="426" t="s">
        <v>87</v>
      </c>
      <c r="G154" s="425" t="s">
        <v>91</v>
      </c>
      <c r="H154" s="426"/>
      <c r="I154" s="426"/>
      <c r="J154" s="431" t="s">
        <v>239</v>
      </c>
      <c r="K154" s="442"/>
      <c r="L154" s="442"/>
      <c r="M154" s="442"/>
      <c r="N154" s="442"/>
      <c r="O154" s="442"/>
      <c r="P154" s="442"/>
      <c r="Q154" s="442"/>
      <c r="R154" s="442"/>
      <c r="S154" s="442"/>
      <c r="T154" s="442"/>
      <c r="U154" s="438"/>
      <c r="V154" s="425"/>
      <c r="W154" s="434"/>
      <c r="X154" s="434"/>
      <c r="Y154" s="406"/>
    </row>
    <row r="155" spans="1:25" ht="22.5" customHeight="1" thickTop="1" thickBot="1" x14ac:dyDescent="0.3">
      <c r="A155" s="434">
        <v>1</v>
      </c>
      <c r="B155" s="434" t="s">
        <v>71</v>
      </c>
      <c r="C155" s="426" t="s">
        <v>85</v>
      </c>
      <c r="D155" s="426" t="s">
        <v>85</v>
      </c>
      <c r="E155" s="434" t="s">
        <v>85</v>
      </c>
      <c r="F155" s="426" t="s">
        <v>87</v>
      </c>
      <c r="G155" s="425" t="s">
        <v>93</v>
      </c>
      <c r="H155" s="426"/>
      <c r="I155" s="426"/>
      <c r="J155" s="431" t="s">
        <v>240</v>
      </c>
      <c r="K155" s="442"/>
      <c r="L155" s="442"/>
      <c r="M155" s="442"/>
      <c r="N155" s="442"/>
      <c r="O155" s="442"/>
      <c r="P155" s="442"/>
      <c r="Q155" s="442"/>
      <c r="R155" s="442"/>
      <c r="S155" s="442"/>
      <c r="T155" s="442"/>
      <c r="U155" s="438"/>
      <c r="V155" s="425"/>
      <c r="W155" s="434"/>
      <c r="X155" s="434"/>
      <c r="Y155" s="406"/>
    </row>
    <row r="156" spans="1:25" ht="22.5" customHeight="1" thickTop="1" thickBot="1" x14ac:dyDescent="0.3">
      <c r="A156" s="434">
        <v>1</v>
      </c>
      <c r="B156" s="434" t="s">
        <v>71</v>
      </c>
      <c r="C156" s="426" t="s">
        <v>85</v>
      </c>
      <c r="D156" s="426" t="s">
        <v>85</v>
      </c>
      <c r="E156" s="434" t="s">
        <v>85</v>
      </c>
      <c r="F156" s="426" t="s">
        <v>87</v>
      </c>
      <c r="G156" s="425" t="s">
        <v>95</v>
      </c>
      <c r="H156" s="426"/>
      <c r="I156" s="426"/>
      <c r="J156" s="431" t="s">
        <v>241</v>
      </c>
      <c r="K156" s="442"/>
      <c r="L156" s="442"/>
      <c r="M156" s="442"/>
      <c r="N156" s="442"/>
      <c r="O156" s="442"/>
      <c r="P156" s="442"/>
      <c r="Q156" s="442"/>
      <c r="R156" s="442"/>
      <c r="S156" s="442"/>
      <c r="T156" s="442"/>
      <c r="U156" s="438"/>
      <c r="V156" s="425"/>
      <c r="W156" s="434"/>
      <c r="X156" s="434"/>
      <c r="Y156" s="406"/>
    </row>
    <row r="157" spans="1:25" ht="22.5" customHeight="1" thickTop="1" thickBot="1" x14ac:dyDescent="0.3">
      <c r="A157" s="434">
        <v>1</v>
      </c>
      <c r="B157" s="434" t="s">
        <v>71</v>
      </c>
      <c r="C157" s="426" t="s">
        <v>85</v>
      </c>
      <c r="D157" s="426" t="s">
        <v>85</v>
      </c>
      <c r="E157" s="434" t="s">
        <v>85</v>
      </c>
      <c r="F157" s="426" t="s">
        <v>87</v>
      </c>
      <c r="G157" s="425" t="s">
        <v>97</v>
      </c>
      <c r="H157" s="426"/>
      <c r="I157" s="426"/>
      <c r="J157" s="431" t="s">
        <v>238</v>
      </c>
      <c r="K157" s="442"/>
      <c r="L157" s="442"/>
      <c r="M157" s="442"/>
      <c r="N157" s="442"/>
      <c r="O157" s="442"/>
      <c r="P157" s="442"/>
      <c r="Q157" s="442"/>
      <c r="R157" s="442"/>
      <c r="S157" s="442"/>
      <c r="T157" s="442"/>
      <c r="U157" s="438"/>
      <c r="V157" s="425"/>
      <c r="W157" s="434"/>
      <c r="X157" s="434"/>
      <c r="Y157" s="406"/>
    </row>
    <row r="158" spans="1:25" ht="22.5" customHeight="1" thickTop="1" thickBot="1" x14ac:dyDescent="0.3">
      <c r="A158" s="434">
        <v>1</v>
      </c>
      <c r="B158" s="434" t="s">
        <v>71</v>
      </c>
      <c r="C158" s="426" t="s">
        <v>85</v>
      </c>
      <c r="D158" s="426" t="s">
        <v>85</v>
      </c>
      <c r="E158" s="434" t="s">
        <v>85</v>
      </c>
      <c r="F158" s="425" t="s">
        <v>89</v>
      </c>
      <c r="G158" s="426"/>
      <c r="H158" s="426"/>
      <c r="I158" s="426"/>
      <c r="J158" s="427" t="s">
        <v>242</v>
      </c>
      <c r="K158" s="441"/>
      <c r="L158" s="441"/>
      <c r="M158" s="441"/>
      <c r="N158" s="441"/>
      <c r="O158" s="441"/>
      <c r="P158" s="441"/>
      <c r="Q158" s="441"/>
      <c r="R158" s="441"/>
      <c r="S158" s="441"/>
      <c r="T158" s="441"/>
      <c r="U158" s="436"/>
      <c r="V158" s="425"/>
      <c r="W158" s="434"/>
      <c r="X158" s="434"/>
      <c r="Y158" s="406" t="s">
        <v>70</v>
      </c>
    </row>
    <row r="159" spans="1:25" ht="22.5" customHeight="1" thickTop="1" thickBot="1" x14ac:dyDescent="0.3">
      <c r="A159" s="434">
        <v>1</v>
      </c>
      <c r="B159" s="434" t="s">
        <v>71</v>
      </c>
      <c r="C159" s="426" t="s">
        <v>85</v>
      </c>
      <c r="D159" s="426" t="s">
        <v>85</v>
      </c>
      <c r="E159" s="434" t="s">
        <v>85</v>
      </c>
      <c r="F159" s="426" t="s">
        <v>89</v>
      </c>
      <c r="G159" s="425" t="s">
        <v>71</v>
      </c>
      <c r="H159" s="426"/>
      <c r="I159" s="426"/>
      <c r="J159" s="431" t="s">
        <v>243</v>
      </c>
      <c r="K159" s="442"/>
      <c r="L159" s="442"/>
      <c r="M159" s="442"/>
      <c r="N159" s="442"/>
      <c r="O159" s="442"/>
      <c r="P159" s="442"/>
      <c r="Q159" s="442"/>
      <c r="R159" s="442"/>
      <c r="S159" s="442"/>
      <c r="T159" s="442"/>
      <c r="U159" s="438"/>
      <c r="V159" s="425"/>
      <c r="W159" s="434"/>
      <c r="X159" s="434"/>
      <c r="Y159" s="406" t="s">
        <v>70</v>
      </c>
    </row>
    <row r="160" spans="1:25" ht="22.5" customHeight="1" thickTop="1" thickBot="1" x14ac:dyDescent="0.3">
      <c r="A160" s="434">
        <v>1</v>
      </c>
      <c r="B160" s="434" t="s">
        <v>71</v>
      </c>
      <c r="C160" s="426" t="s">
        <v>85</v>
      </c>
      <c r="D160" s="426" t="s">
        <v>85</v>
      </c>
      <c r="E160" s="434" t="s">
        <v>85</v>
      </c>
      <c r="F160" s="426" t="s">
        <v>89</v>
      </c>
      <c r="G160" s="425" t="s">
        <v>85</v>
      </c>
      <c r="H160" s="426"/>
      <c r="I160" s="426"/>
      <c r="J160" s="431" t="s">
        <v>244</v>
      </c>
      <c r="K160" s="442"/>
      <c r="L160" s="442"/>
      <c r="M160" s="442"/>
      <c r="N160" s="442"/>
      <c r="O160" s="442"/>
      <c r="P160" s="442"/>
      <c r="Q160" s="442"/>
      <c r="R160" s="442"/>
      <c r="S160" s="442"/>
      <c r="T160" s="442"/>
      <c r="U160" s="438"/>
      <c r="V160" s="425"/>
      <c r="W160" s="434"/>
      <c r="X160" s="434"/>
      <c r="Y160" s="406" t="s">
        <v>70</v>
      </c>
    </row>
    <row r="161" spans="1:25" ht="22.5" customHeight="1" thickTop="1" thickBot="1" x14ac:dyDescent="0.3">
      <c r="A161" s="434">
        <v>1</v>
      </c>
      <c r="B161" s="434" t="s">
        <v>71</v>
      </c>
      <c r="C161" s="426" t="s">
        <v>85</v>
      </c>
      <c r="D161" s="426" t="s">
        <v>85</v>
      </c>
      <c r="E161" s="434" t="s">
        <v>85</v>
      </c>
      <c r="F161" s="425" t="s">
        <v>91</v>
      </c>
      <c r="G161" s="426"/>
      <c r="H161" s="426"/>
      <c r="I161" s="426"/>
      <c r="J161" s="427" t="s">
        <v>245</v>
      </c>
      <c r="K161" s="441"/>
      <c r="L161" s="441"/>
      <c r="M161" s="441"/>
      <c r="N161" s="441"/>
      <c r="O161" s="441"/>
      <c r="P161" s="441"/>
      <c r="Q161" s="441"/>
      <c r="R161" s="441"/>
      <c r="S161" s="441"/>
      <c r="T161" s="441"/>
      <c r="U161" s="436"/>
      <c r="V161" s="425"/>
      <c r="W161" s="434"/>
      <c r="X161" s="434"/>
      <c r="Y161" s="406" t="s">
        <v>70</v>
      </c>
    </row>
    <row r="162" spans="1:25" ht="22.5" customHeight="1" thickTop="1" thickBot="1" x14ac:dyDescent="0.3">
      <c r="A162" s="434">
        <v>1</v>
      </c>
      <c r="B162" s="434" t="s">
        <v>71</v>
      </c>
      <c r="C162" s="426" t="s">
        <v>85</v>
      </c>
      <c r="D162" s="426" t="s">
        <v>85</v>
      </c>
      <c r="E162" s="434" t="s">
        <v>85</v>
      </c>
      <c r="F162" s="426" t="s">
        <v>91</v>
      </c>
      <c r="G162" s="425" t="s">
        <v>71</v>
      </c>
      <c r="H162" s="426"/>
      <c r="I162" s="426"/>
      <c r="J162" s="431" t="s">
        <v>246</v>
      </c>
      <c r="K162" s="442"/>
      <c r="L162" s="442"/>
      <c r="M162" s="442"/>
      <c r="N162" s="442"/>
      <c r="O162" s="442"/>
      <c r="P162" s="442"/>
      <c r="Q162" s="442"/>
      <c r="R162" s="442"/>
      <c r="S162" s="442"/>
      <c r="T162" s="442"/>
      <c r="U162" s="438"/>
      <c r="V162" s="425"/>
      <c r="W162" s="434"/>
      <c r="X162" s="434"/>
      <c r="Y162" s="406" t="s">
        <v>70</v>
      </c>
    </row>
    <row r="163" spans="1:25" ht="22.5" customHeight="1" thickTop="1" thickBot="1" x14ac:dyDescent="0.3">
      <c r="A163" s="434">
        <v>1</v>
      </c>
      <c r="B163" s="434" t="s">
        <v>71</v>
      </c>
      <c r="C163" s="426" t="s">
        <v>85</v>
      </c>
      <c r="D163" s="426" t="s">
        <v>85</v>
      </c>
      <c r="E163" s="434" t="s">
        <v>85</v>
      </c>
      <c r="F163" s="426" t="s">
        <v>91</v>
      </c>
      <c r="G163" s="425" t="s">
        <v>85</v>
      </c>
      <c r="H163" s="426"/>
      <c r="I163" s="426"/>
      <c r="J163" s="431" t="s">
        <v>247</v>
      </c>
      <c r="K163" s="442"/>
      <c r="L163" s="442"/>
      <c r="M163" s="442"/>
      <c r="N163" s="442"/>
      <c r="O163" s="442"/>
      <c r="P163" s="442"/>
      <c r="Q163" s="442"/>
      <c r="R163" s="442"/>
      <c r="S163" s="442"/>
      <c r="T163" s="442"/>
      <c r="U163" s="438"/>
      <c r="V163" s="425"/>
      <c r="W163" s="434"/>
      <c r="X163" s="434"/>
      <c r="Y163" s="406" t="s">
        <v>70</v>
      </c>
    </row>
    <row r="164" spans="1:25" ht="22.5" customHeight="1" thickTop="1" thickBot="1" x14ac:dyDescent="0.3">
      <c r="A164" s="434">
        <v>1</v>
      </c>
      <c r="B164" s="434" t="s">
        <v>71</v>
      </c>
      <c r="C164" s="426" t="s">
        <v>85</v>
      </c>
      <c r="D164" s="426" t="s">
        <v>85</v>
      </c>
      <c r="E164" s="434" t="s">
        <v>85</v>
      </c>
      <c r="F164" s="425" t="s">
        <v>93</v>
      </c>
      <c r="G164" s="426"/>
      <c r="H164" s="426"/>
      <c r="I164" s="426"/>
      <c r="J164" s="427" t="s">
        <v>248</v>
      </c>
      <c r="K164" s="441"/>
      <c r="L164" s="441"/>
      <c r="M164" s="441"/>
      <c r="N164" s="441"/>
      <c r="O164" s="441"/>
      <c r="P164" s="441"/>
      <c r="Q164" s="441"/>
      <c r="R164" s="441"/>
      <c r="S164" s="441"/>
      <c r="T164" s="441"/>
      <c r="U164" s="436"/>
      <c r="V164" s="425"/>
      <c r="W164" s="434"/>
      <c r="X164" s="434"/>
      <c r="Y164" s="406" t="s">
        <v>70</v>
      </c>
    </row>
    <row r="165" spans="1:25" ht="22.5" customHeight="1" thickTop="1" thickBot="1" x14ac:dyDescent="0.3">
      <c r="A165" s="434">
        <v>1</v>
      </c>
      <c r="B165" s="434" t="s">
        <v>71</v>
      </c>
      <c r="C165" s="426" t="s">
        <v>85</v>
      </c>
      <c r="D165" s="426" t="s">
        <v>85</v>
      </c>
      <c r="E165" s="434" t="s">
        <v>85</v>
      </c>
      <c r="F165" s="426" t="s">
        <v>93</v>
      </c>
      <c r="G165" s="425" t="s">
        <v>71</v>
      </c>
      <c r="H165" s="426"/>
      <c r="I165" s="426"/>
      <c r="J165" s="431" t="s">
        <v>249</v>
      </c>
      <c r="K165" s="442"/>
      <c r="L165" s="442"/>
      <c r="M165" s="442"/>
      <c r="N165" s="442"/>
      <c r="O165" s="442"/>
      <c r="P165" s="442"/>
      <c r="Q165" s="442"/>
      <c r="R165" s="442"/>
      <c r="S165" s="442"/>
      <c r="T165" s="442"/>
      <c r="U165" s="438"/>
      <c r="V165" s="425"/>
      <c r="W165" s="434"/>
      <c r="X165" s="434"/>
      <c r="Y165" s="406" t="s">
        <v>70</v>
      </c>
    </row>
    <row r="166" spans="1:25" ht="22.5" customHeight="1" thickTop="1" thickBot="1" x14ac:dyDescent="0.3">
      <c r="A166" s="434">
        <v>1</v>
      </c>
      <c r="B166" s="434" t="s">
        <v>71</v>
      </c>
      <c r="C166" s="426" t="s">
        <v>85</v>
      </c>
      <c r="D166" s="426" t="s">
        <v>85</v>
      </c>
      <c r="E166" s="434" t="s">
        <v>85</v>
      </c>
      <c r="F166" s="426" t="s">
        <v>93</v>
      </c>
      <c r="G166" s="425" t="s">
        <v>85</v>
      </c>
      <c r="H166" s="426"/>
      <c r="I166" s="426"/>
      <c r="J166" s="431" t="s">
        <v>250</v>
      </c>
      <c r="K166" s="442"/>
      <c r="L166" s="442"/>
      <c r="M166" s="442"/>
      <c r="N166" s="442"/>
      <c r="O166" s="442"/>
      <c r="P166" s="442"/>
      <c r="Q166" s="442"/>
      <c r="R166" s="442"/>
      <c r="S166" s="442"/>
      <c r="T166" s="442"/>
      <c r="U166" s="438"/>
      <c r="V166" s="425"/>
      <c r="W166" s="434"/>
      <c r="X166" s="434"/>
      <c r="Y166" s="406" t="s">
        <v>70</v>
      </c>
    </row>
    <row r="167" spans="1:25" ht="22.5" customHeight="1" thickTop="1" thickBot="1" x14ac:dyDescent="0.3">
      <c r="A167" s="434">
        <v>1</v>
      </c>
      <c r="B167" s="434" t="s">
        <v>71</v>
      </c>
      <c r="C167" s="426" t="s">
        <v>85</v>
      </c>
      <c r="D167" s="426" t="s">
        <v>85</v>
      </c>
      <c r="E167" s="434" t="s">
        <v>85</v>
      </c>
      <c r="F167" s="425" t="s">
        <v>95</v>
      </c>
      <c r="G167" s="426"/>
      <c r="H167" s="426"/>
      <c r="I167" s="426"/>
      <c r="J167" s="427" t="s">
        <v>251</v>
      </c>
      <c r="K167" s="441"/>
      <c r="L167" s="441"/>
      <c r="M167" s="441"/>
      <c r="N167" s="441"/>
      <c r="O167" s="441"/>
      <c r="P167" s="441"/>
      <c r="Q167" s="441"/>
      <c r="R167" s="441"/>
      <c r="S167" s="441"/>
      <c r="T167" s="441"/>
      <c r="U167" s="436"/>
      <c r="V167" s="425"/>
      <c r="W167" s="434"/>
      <c r="X167" s="434"/>
      <c r="Y167" s="406" t="s">
        <v>70</v>
      </c>
    </row>
    <row r="168" spans="1:25" ht="22.5" customHeight="1" thickTop="1" thickBot="1" x14ac:dyDescent="0.3">
      <c r="A168" s="434">
        <v>1</v>
      </c>
      <c r="B168" s="434" t="s">
        <v>71</v>
      </c>
      <c r="C168" s="426" t="s">
        <v>85</v>
      </c>
      <c r="D168" s="426" t="s">
        <v>85</v>
      </c>
      <c r="E168" s="434" t="s">
        <v>85</v>
      </c>
      <c r="F168" s="426" t="s">
        <v>95</v>
      </c>
      <c r="G168" s="425" t="s">
        <v>71</v>
      </c>
      <c r="H168" s="426"/>
      <c r="I168" s="426"/>
      <c r="J168" s="431" t="s">
        <v>252</v>
      </c>
      <c r="K168" s="442"/>
      <c r="L168" s="442"/>
      <c r="M168" s="442"/>
      <c r="N168" s="442"/>
      <c r="O168" s="442"/>
      <c r="P168" s="442"/>
      <c r="Q168" s="442"/>
      <c r="R168" s="442"/>
      <c r="S168" s="442"/>
      <c r="T168" s="442"/>
      <c r="U168" s="438"/>
      <c r="V168" s="425"/>
      <c r="W168" s="434"/>
      <c r="X168" s="434"/>
      <c r="Y168" s="406" t="s">
        <v>70</v>
      </c>
    </row>
    <row r="169" spans="1:25" ht="22.5" customHeight="1" thickTop="1" thickBot="1" x14ac:dyDescent="0.3">
      <c r="A169" s="434">
        <v>1</v>
      </c>
      <c r="B169" s="434" t="s">
        <v>71</v>
      </c>
      <c r="C169" s="426" t="s">
        <v>85</v>
      </c>
      <c r="D169" s="426" t="s">
        <v>85</v>
      </c>
      <c r="E169" s="434" t="s">
        <v>85</v>
      </c>
      <c r="F169" s="426" t="s">
        <v>95</v>
      </c>
      <c r="G169" s="425" t="s">
        <v>85</v>
      </c>
      <c r="H169" s="426"/>
      <c r="I169" s="426"/>
      <c r="J169" s="431" t="s">
        <v>253</v>
      </c>
      <c r="K169" s="442"/>
      <c r="L169" s="442"/>
      <c r="M169" s="442"/>
      <c r="N169" s="442"/>
      <c r="O169" s="442"/>
      <c r="P169" s="442"/>
      <c r="Q169" s="442"/>
      <c r="R169" s="442"/>
      <c r="S169" s="442"/>
      <c r="T169" s="442"/>
      <c r="U169" s="438"/>
      <c r="V169" s="425"/>
      <c r="W169" s="434"/>
      <c r="X169" s="434"/>
      <c r="Y169" s="406" t="s">
        <v>70</v>
      </c>
    </row>
    <row r="170" spans="1:25" ht="22.5" customHeight="1" thickTop="1" thickBot="1" x14ac:dyDescent="0.3">
      <c r="A170" s="434">
        <v>1</v>
      </c>
      <c r="B170" s="434" t="s">
        <v>71</v>
      </c>
      <c r="C170" s="426" t="s">
        <v>85</v>
      </c>
      <c r="D170" s="426" t="s">
        <v>85</v>
      </c>
      <c r="E170" s="434" t="s">
        <v>85</v>
      </c>
      <c r="F170" s="425" t="s">
        <v>97</v>
      </c>
      <c r="G170" s="426"/>
      <c r="H170" s="426"/>
      <c r="I170" s="426"/>
      <c r="J170" s="427" t="s">
        <v>254</v>
      </c>
      <c r="K170" s="441"/>
      <c r="L170" s="441"/>
      <c r="M170" s="441"/>
      <c r="N170" s="441"/>
      <c r="O170" s="441"/>
      <c r="P170" s="441"/>
      <c r="Q170" s="441"/>
      <c r="R170" s="441"/>
      <c r="S170" s="441"/>
      <c r="T170" s="441"/>
      <c r="U170" s="436"/>
      <c r="V170" s="425"/>
      <c r="W170" s="434"/>
      <c r="X170" s="434"/>
      <c r="Y170" s="406" t="s">
        <v>70</v>
      </c>
    </row>
    <row r="171" spans="1:25" ht="22.5" customHeight="1" thickTop="1" thickBot="1" x14ac:dyDescent="0.3">
      <c r="A171" s="434">
        <v>1</v>
      </c>
      <c r="B171" s="434" t="s">
        <v>71</v>
      </c>
      <c r="C171" s="426" t="s">
        <v>85</v>
      </c>
      <c r="D171" s="426" t="s">
        <v>85</v>
      </c>
      <c r="E171" s="434" t="s">
        <v>85</v>
      </c>
      <c r="F171" s="426" t="s">
        <v>97</v>
      </c>
      <c r="G171" s="425" t="s">
        <v>71</v>
      </c>
      <c r="H171" s="426"/>
      <c r="I171" s="426"/>
      <c r="J171" s="431" t="s">
        <v>255</v>
      </c>
      <c r="K171" s="442"/>
      <c r="L171" s="442"/>
      <c r="M171" s="442"/>
      <c r="N171" s="442"/>
      <c r="O171" s="442"/>
      <c r="P171" s="442"/>
      <c r="Q171" s="442"/>
      <c r="R171" s="442"/>
      <c r="S171" s="442"/>
      <c r="T171" s="442"/>
      <c r="U171" s="438"/>
      <c r="V171" s="425"/>
      <c r="W171" s="434"/>
      <c r="X171" s="434"/>
      <c r="Y171" s="406" t="s">
        <v>70</v>
      </c>
    </row>
    <row r="172" spans="1:25" ht="22.5" customHeight="1" thickTop="1" thickBot="1" x14ac:dyDescent="0.3">
      <c r="A172" s="434">
        <v>1</v>
      </c>
      <c r="B172" s="434" t="s">
        <v>71</v>
      </c>
      <c r="C172" s="426" t="s">
        <v>85</v>
      </c>
      <c r="D172" s="426" t="s">
        <v>85</v>
      </c>
      <c r="E172" s="434" t="s">
        <v>85</v>
      </c>
      <c r="F172" s="426" t="s">
        <v>97</v>
      </c>
      <c r="G172" s="425" t="s">
        <v>85</v>
      </c>
      <c r="H172" s="426"/>
      <c r="I172" s="426"/>
      <c r="J172" s="431" t="s">
        <v>256</v>
      </c>
      <c r="K172" s="442"/>
      <c r="L172" s="442"/>
      <c r="M172" s="442"/>
      <c r="N172" s="442"/>
      <c r="O172" s="442"/>
      <c r="P172" s="442"/>
      <c r="Q172" s="442"/>
      <c r="R172" s="442"/>
      <c r="S172" s="442"/>
      <c r="T172" s="442"/>
      <c r="U172" s="438"/>
      <c r="V172" s="425"/>
      <c r="W172" s="434"/>
      <c r="X172" s="434"/>
      <c r="Y172" s="406" t="s">
        <v>70</v>
      </c>
    </row>
    <row r="173" spans="1:25" ht="22.5" customHeight="1" thickTop="1" thickBot="1" x14ac:dyDescent="0.3">
      <c r="A173" s="419" t="s">
        <v>67</v>
      </c>
      <c r="B173" s="420" t="s">
        <v>71</v>
      </c>
      <c r="C173" s="420" t="s">
        <v>85</v>
      </c>
      <c r="D173" s="420" t="s">
        <v>87</v>
      </c>
      <c r="E173" s="420"/>
      <c r="F173" s="421"/>
      <c r="G173" s="421"/>
      <c r="H173" s="421"/>
      <c r="I173" s="421"/>
      <c r="J173" s="422" t="s">
        <v>257</v>
      </c>
      <c r="K173" s="423"/>
      <c r="L173" s="423"/>
      <c r="M173" s="423"/>
      <c r="N173" s="423"/>
      <c r="O173" s="423"/>
      <c r="P173" s="423"/>
      <c r="Q173" s="423"/>
      <c r="R173" s="423"/>
      <c r="S173" s="423"/>
      <c r="T173" s="423"/>
      <c r="U173" s="424"/>
      <c r="V173" s="420"/>
      <c r="W173" s="419" t="s">
        <v>258</v>
      </c>
      <c r="X173" s="419" t="s">
        <v>259</v>
      </c>
      <c r="Y173" s="406" t="s">
        <v>70</v>
      </c>
    </row>
    <row r="174" spans="1:25" s="174" customFormat="1" ht="22.5" customHeight="1" thickTop="1" thickBot="1" x14ac:dyDescent="0.3">
      <c r="A174" s="425" t="s">
        <v>67</v>
      </c>
      <c r="B174" s="425" t="s">
        <v>71</v>
      </c>
      <c r="C174" s="425" t="s">
        <v>85</v>
      </c>
      <c r="D174" s="425" t="s">
        <v>87</v>
      </c>
      <c r="E174" s="425" t="s">
        <v>71</v>
      </c>
      <c r="F174" s="425"/>
      <c r="G174" s="425"/>
      <c r="H174" s="426"/>
      <c r="I174" s="426"/>
      <c r="J174" s="427" t="s">
        <v>260</v>
      </c>
      <c r="K174" s="441"/>
      <c r="L174" s="441"/>
      <c r="M174" s="441"/>
      <c r="N174" s="441"/>
      <c r="O174" s="441"/>
      <c r="P174" s="441"/>
      <c r="Q174" s="441"/>
      <c r="R174" s="441"/>
      <c r="S174" s="441"/>
      <c r="T174" s="441"/>
      <c r="U174" s="436"/>
      <c r="V174" s="430"/>
      <c r="W174" s="430" t="s">
        <v>261</v>
      </c>
      <c r="X174" s="430" t="s">
        <v>262</v>
      </c>
      <c r="Y174" s="406" t="s">
        <v>70</v>
      </c>
    </row>
    <row r="175" spans="1:25" ht="22.5" customHeight="1" thickTop="1" thickBot="1" x14ac:dyDescent="0.3">
      <c r="A175" s="434" t="s">
        <v>67</v>
      </c>
      <c r="B175" s="426" t="s">
        <v>71</v>
      </c>
      <c r="C175" s="426" t="s">
        <v>85</v>
      </c>
      <c r="D175" s="426" t="s">
        <v>87</v>
      </c>
      <c r="E175" s="426" t="s">
        <v>71</v>
      </c>
      <c r="F175" s="425" t="s">
        <v>71</v>
      </c>
      <c r="G175" s="426"/>
      <c r="H175" s="426"/>
      <c r="I175" s="426"/>
      <c r="J175" s="427" t="s">
        <v>263</v>
      </c>
      <c r="K175" s="441"/>
      <c r="L175" s="441"/>
      <c r="M175" s="441"/>
      <c r="N175" s="441"/>
      <c r="O175" s="441"/>
      <c r="P175" s="441"/>
      <c r="Q175" s="441"/>
      <c r="R175" s="441"/>
      <c r="S175" s="441"/>
      <c r="T175" s="441"/>
      <c r="U175" s="436"/>
      <c r="V175" s="434"/>
      <c r="W175" s="434" t="s">
        <v>264</v>
      </c>
      <c r="X175" s="434" t="s">
        <v>265</v>
      </c>
      <c r="Y175" s="406" t="s">
        <v>70</v>
      </c>
    </row>
    <row r="176" spans="1:25" ht="22.5" customHeight="1" thickTop="1" thickBot="1" x14ac:dyDescent="0.3">
      <c r="A176" s="434" t="s">
        <v>67</v>
      </c>
      <c r="B176" s="426" t="s">
        <v>71</v>
      </c>
      <c r="C176" s="426" t="s">
        <v>85</v>
      </c>
      <c r="D176" s="426" t="s">
        <v>87</v>
      </c>
      <c r="E176" s="426" t="s">
        <v>71</v>
      </c>
      <c r="F176" s="426" t="s">
        <v>71</v>
      </c>
      <c r="G176" s="425" t="s">
        <v>71</v>
      </c>
      <c r="H176" s="426"/>
      <c r="I176" s="426"/>
      <c r="J176" s="431" t="s">
        <v>266</v>
      </c>
      <c r="K176" s="441"/>
      <c r="L176" s="441"/>
      <c r="M176" s="441"/>
      <c r="N176" s="441"/>
      <c r="O176" s="441"/>
      <c r="P176" s="441"/>
      <c r="Q176" s="441"/>
      <c r="R176" s="441"/>
      <c r="S176" s="441"/>
      <c r="T176" s="441"/>
      <c r="U176" s="436"/>
      <c r="V176" s="434"/>
      <c r="W176" s="434"/>
      <c r="X176" s="434"/>
      <c r="Y176" s="406" t="s">
        <v>70</v>
      </c>
    </row>
    <row r="177" spans="1:25" ht="22.5" customHeight="1" thickTop="1" thickBot="1" x14ac:dyDescent="0.3">
      <c r="A177" s="434" t="s">
        <v>67</v>
      </c>
      <c r="B177" s="426" t="s">
        <v>71</v>
      </c>
      <c r="C177" s="426" t="s">
        <v>85</v>
      </c>
      <c r="D177" s="426" t="s">
        <v>87</v>
      </c>
      <c r="E177" s="426" t="s">
        <v>71</v>
      </c>
      <c r="F177" s="426" t="s">
        <v>71</v>
      </c>
      <c r="G177" s="425" t="s">
        <v>85</v>
      </c>
      <c r="H177" s="426"/>
      <c r="I177" s="426"/>
      <c r="J177" s="431" t="s">
        <v>267</v>
      </c>
      <c r="K177" s="442"/>
      <c r="L177" s="442"/>
      <c r="M177" s="442"/>
      <c r="N177" s="442"/>
      <c r="O177" s="442"/>
      <c r="P177" s="442"/>
      <c r="Q177" s="442"/>
      <c r="R177" s="442"/>
      <c r="S177" s="442"/>
      <c r="T177" s="442"/>
      <c r="U177" s="438"/>
      <c r="V177" s="434"/>
      <c r="W177" s="434"/>
      <c r="X177" s="434"/>
      <c r="Y177" s="406" t="s">
        <v>70</v>
      </c>
    </row>
    <row r="178" spans="1:25" ht="22.5" customHeight="1" thickTop="1" thickBot="1" x14ac:dyDescent="0.3">
      <c r="A178" s="434" t="s">
        <v>67</v>
      </c>
      <c r="B178" s="426" t="s">
        <v>71</v>
      </c>
      <c r="C178" s="426" t="s">
        <v>85</v>
      </c>
      <c r="D178" s="426" t="s">
        <v>87</v>
      </c>
      <c r="E178" s="426" t="s">
        <v>71</v>
      </c>
      <c r="F178" s="426" t="s">
        <v>71</v>
      </c>
      <c r="G178" s="425" t="s">
        <v>87</v>
      </c>
      <c r="H178" s="426"/>
      <c r="I178" s="426"/>
      <c r="J178" s="431" t="s">
        <v>268</v>
      </c>
      <c r="K178" s="442"/>
      <c r="L178" s="442"/>
      <c r="M178" s="442"/>
      <c r="N178" s="442"/>
      <c r="O178" s="442"/>
      <c r="P178" s="442"/>
      <c r="Q178" s="442"/>
      <c r="R178" s="442"/>
      <c r="S178" s="442"/>
      <c r="T178" s="442"/>
      <c r="U178" s="438"/>
      <c r="V178" s="434"/>
      <c r="W178" s="434"/>
      <c r="X178" s="434"/>
      <c r="Y178" s="406"/>
    </row>
    <row r="179" spans="1:25" ht="22.5" customHeight="1" thickTop="1" thickBot="1" x14ac:dyDescent="0.3">
      <c r="A179" s="434" t="s">
        <v>67</v>
      </c>
      <c r="B179" s="426" t="s">
        <v>71</v>
      </c>
      <c r="C179" s="426" t="s">
        <v>85</v>
      </c>
      <c r="D179" s="426" t="s">
        <v>87</v>
      </c>
      <c r="E179" s="426" t="s">
        <v>71</v>
      </c>
      <c r="F179" s="426" t="s">
        <v>71</v>
      </c>
      <c r="G179" s="425" t="s">
        <v>89</v>
      </c>
      <c r="H179" s="426"/>
      <c r="I179" s="426"/>
      <c r="J179" s="431" t="s">
        <v>269</v>
      </c>
      <c r="K179" s="442"/>
      <c r="L179" s="442"/>
      <c r="M179" s="442"/>
      <c r="N179" s="442"/>
      <c r="O179" s="442"/>
      <c r="P179" s="442"/>
      <c r="Q179" s="442"/>
      <c r="R179" s="442"/>
      <c r="S179" s="442"/>
      <c r="T179" s="442"/>
      <c r="U179" s="438"/>
      <c r="V179" s="434"/>
      <c r="W179" s="434"/>
      <c r="X179" s="434"/>
      <c r="Y179" s="406"/>
    </row>
    <row r="180" spans="1:25" ht="22.5" customHeight="1" thickTop="1" thickBot="1" x14ac:dyDescent="0.3">
      <c r="A180" s="434" t="s">
        <v>67</v>
      </c>
      <c r="B180" s="426" t="s">
        <v>71</v>
      </c>
      <c r="C180" s="426" t="s">
        <v>85</v>
      </c>
      <c r="D180" s="426" t="s">
        <v>87</v>
      </c>
      <c r="E180" s="426" t="s">
        <v>71</v>
      </c>
      <c r="F180" s="426" t="s">
        <v>71</v>
      </c>
      <c r="G180" s="425" t="s">
        <v>91</v>
      </c>
      <c r="H180" s="426"/>
      <c r="I180" s="426"/>
      <c r="J180" s="431" t="s">
        <v>270</v>
      </c>
      <c r="K180" s="442"/>
      <c r="L180" s="442"/>
      <c r="M180" s="442"/>
      <c r="N180" s="442"/>
      <c r="O180" s="442"/>
      <c r="P180" s="442"/>
      <c r="Q180" s="442"/>
      <c r="R180" s="442"/>
      <c r="S180" s="442"/>
      <c r="T180" s="442"/>
      <c r="U180" s="438"/>
      <c r="V180" s="434"/>
      <c r="W180" s="434"/>
      <c r="X180" s="434"/>
      <c r="Y180" s="406"/>
    </row>
    <row r="181" spans="1:25" ht="22.5" customHeight="1" thickTop="1" thickBot="1" x14ac:dyDescent="0.3">
      <c r="A181" s="434" t="s">
        <v>67</v>
      </c>
      <c r="B181" s="426" t="s">
        <v>71</v>
      </c>
      <c r="C181" s="426" t="s">
        <v>85</v>
      </c>
      <c r="D181" s="426" t="s">
        <v>87</v>
      </c>
      <c r="E181" s="426" t="s">
        <v>71</v>
      </c>
      <c r="F181" s="426" t="s">
        <v>71</v>
      </c>
      <c r="G181" s="425" t="s">
        <v>93</v>
      </c>
      <c r="H181" s="426"/>
      <c r="I181" s="426"/>
      <c r="J181" s="431" t="s">
        <v>271</v>
      </c>
      <c r="K181" s="442"/>
      <c r="L181" s="442"/>
      <c r="M181" s="442"/>
      <c r="N181" s="442"/>
      <c r="O181" s="442"/>
      <c r="P181" s="442"/>
      <c r="Q181" s="442"/>
      <c r="R181" s="442"/>
      <c r="S181" s="442"/>
      <c r="T181" s="442"/>
      <c r="U181" s="438"/>
      <c r="V181" s="434"/>
      <c r="W181" s="434"/>
      <c r="X181" s="434"/>
      <c r="Y181" s="406"/>
    </row>
    <row r="182" spans="1:25" ht="22.5" customHeight="1" thickTop="1" thickBot="1" x14ac:dyDescent="0.3">
      <c r="A182" s="434" t="s">
        <v>67</v>
      </c>
      <c r="B182" s="426" t="s">
        <v>71</v>
      </c>
      <c r="C182" s="426" t="s">
        <v>85</v>
      </c>
      <c r="D182" s="426" t="s">
        <v>87</v>
      </c>
      <c r="E182" s="426" t="s">
        <v>71</v>
      </c>
      <c r="F182" s="426" t="s">
        <v>71</v>
      </c>
      <c r="G182" s="425" t="s">
        <v>95</v>
      </c>
      <c r="H182" s="426"/>
      <c r="I182" s="426"/>
      <c r="J182" s="431" t="s">
        <v>272</v>
      </c>
      <c r="K182" s="442"/>
      <c r="L182" s="442"/>
      <c r="M182" s="442"/>
      <c r="N182" s="442"/>
      <c r="O182" s="442"/>
      <c r="P182" s="442"/>
      <c r="Q182" s="442"/>
      <c r="R182" s="442"/>
      <c r="S182" s="442"/>
      <c r="T182" s="442"/>
      <c r="U182" s="438"/>
      <c r="V182" s="434"/>
      <c r="W182" s="434"/>
      <c r="X182" s="434"/>
      <c r="Y182" s="406"/>
    </row>
    <row r="183" spans="1:25" ht="22.5" customHeight="1" thickTop="1" thickBot="1" x14ac:dyDescent="0.3">
      <c r="A183" s="434" t="s">
        <v>67</v>
      </c>
      <c r="B183" s="426" t="s">
        <v>71</v>
      </c>
      <c r="C183" s="426" t="s">
        <v>85</v>
      </c>
      <c r="D183" s="426" t="s">
        <v>87</v>
      </c>
      <c r="E183" s="426" t="s">
        <v>71</v>
      </c>
      <c r="F183" s="426" t="s">
        <v>71</v>
      </c>
      <c r="G183" s="425" t="s">
        <v>97</v>
      </c>
      <c r="H183" s="426"/>
      <c r="I183" s="426"/>
      <c r="J183" s="431" t="s">
        <v>269</v>
      </c>
      <c r="K183" s="442"/>
      <c r="L183" s="442"/>
      <c r="M183" s="442"/>
      <c r="N183" s="442"/>
      <c r="O183" s="442"/>
      <c r="P183" s="442"/>
      <c r="Q183" s="442"/>
      <c r="R183" s="442"/>
      <c r="S183" s="442"/>
      <c r="T183" s="442"/>
      <c r="U183" s="438"/>
      <c r="V183" s="434"/>
      <c r="W183" s="434"/>
      <c r="X183" s="434"/>
      <c r="Y183" s="406"/>
    </row>
    <row r="184" spans="1:25" s="486" customFormat="1" ht="22.5" customHeight="1" thickTop="1" thickBot="1" x14ac:dyDescent="0.3">
      <c r="A184" s="479" t="s">
        <v>67</v>
      </c>
      <c r="B184" s="480" t="s">
        <v>71</v>
      </c>
      <c r="C184" s="480" t="s">
        <v>85</v>
      </c>
      <c r="D184" s="480" t="s">
        <v>87</v>
      </c>
      <c r="E184" s="480" t="s">
        <v>71</v>
      </c>
      <c r="F184" s="481" t="s">
        <v>85</v>
      </c>
      <c r="G184" s="480"/>
      <c r="H184" s="480"/>
      <c r="I184" s="480"/>
      <c r="J184" s="482" t="s">
        <v>273</v>
      </c>
      <c r="K184" s="483"/>
      <c r="L184" s="483"/>
      <c r="M184" s="483"/>
      <c r="N184" s="483"/>
      <c r="O184" s="483"/>
      <c r="P184" s="483"/>
      <c r="Q184" s="483"/>
      <c r="R184" s="483"/>
      <c r="S184" s="483"/>
      <c r="T184" s="483"/>
      <c r="U184" s="484"/>
      <c r="V184" s="479"/>
      <c r="W184" s="479" t="s">
        <v>274</v>
      </c>
      <c r="X184" s="479" t="s">
        <v>275</v>
      </c>
      <c r="Y184" s="485" t="s">
        <v>70</v>
      </c>
    </row>
    <row r="185" spans="1:25" ht="22.5" customHeight="1" thickTop="1" thickBot="1" x14ac:dyDescent="0.3">
      <c r="A185" s="434"/>
      <c r="B185" s="426"/>
      <c r="C185" s="426"/>
      <c r="D185" s="426"/>
      <c r="E185" s="426"/>
      <c r="F185" s="426"/>
      <c r="G185" s="425"/>
      <c r="H185" s="426"/>
      <c r="I185" s="426"/>
      <c r="J185" s="431"/>
      <c r="K185" s="442"/>
      <c r="L185" s="442"/>
      <c r="M185" s="442"/>
      <c r="N185" s="442"/>
      <c r="O185" s="442"/>
      <c r="P185" s="442"/>
      <c r="Q185" s="442"/>
      <c r="R185" s="442"/>
      <c r="S185" s="442"/>
      <c r="T185" s="442"/>
      <c r="U185" s="438"/>
      <c r="V185" s="434"/>
      <c r="W185" s="434"/>
      <c r="X185" s="434"/>
      <c r="Y185" s="406"/>
    </row>
    <row r="186" spans="1:25" ht="22.5" customHeight="1" thickTop="1" thickBot="1" x14ac:dyDescent="0.3">
      <c r="A186" s="419" t="s">
        <v>67</v>
      </c>
      <c r="B186" s="420" t="s">
        <v>71</v>
      </c>
      <c r="C186" s="420" t="s">
        <v>85</v>
      </c>
      <c r="D186" s="420" t="s">
        <v>89</v>
      </c>
      <c r="E186" s="420"/>
      <c r="F186" s="421"/>
      <c r="G186" s="421"/>
      <c r="H186" s="421"/>
      <c r="I186" s="421"/>
      <c r="J186" s="422" t="s">
        <v>276</v>
      </c>
      <c r="K186" s="440"/>
      <c r="L186" s="440"/>
      <c r="M186" s="440"/>
      <c r="N186" s="440"/>
      <c r="O186" s="440"/>
      <c r="P186" s="440"/>
      <c r="Q186" s="440"/>
      <c r="R186" s="440"/>
      <c r="S186" s="440"/>
      <c r="T186" s="440"/>
      <c r="U186" s="424"/>
      <c r="V186" s="420"/>
      <c r="W186" s="419" t="s">
        <v>215</v>
      </c>
      <c r="X186" s="419" t="s">
        <v>216</v>
      </c>
      <c r="Y186" s="406" t="s">
        <v>70</v>
      </c>
    </row>
    <row r="187" spans="1:25" s="174" customFormat="1" ht="22.5" customHeight="1" thickTop="1" thickBot="1" x14ac:dyDescent="0.3">
      <c r="A187" s="430" t="s">
        <v>67</v>
      </c>
      <c r="B187" s="430" t="s">
        <v>71</v>
      </c>
      <c r="C187" s="425" t="s">
        <v>85</v>
      </c>
      <c r="D187" s="425" t="s">
        <v>89</v>
      </c>
      <c r="E187" s="425" t="s">
        <v>71</v>
      </c>
      <c r="F187" s="425"/>
      <c r="G187" s="425"/>
      <c r="H187" s="426"/>
      <c r="I187" s="426"/>
      <c r="J187" s="427" t="s">
        <v>277</v>
      </c>
      <c r="K187" s="441"/>
      <c r="L187" s="441"/>
      <c r="M187" s="441"/>
      <c r="N187" s="441"/>
      <c r="O187" s="441"/>
      <c r="P187" s="441"/>
      <c r="Q187" s="441"/>
      <c r="R187" s="441"/>
      <c r="S187" s="441"/>
      <c r="T187" s="441"/>
      <c r="U187" s="436"/>
      <c r="V187" s="425"/>
      <c r="W187" s="430" t="s">
        <v>278</v>
      </c>
      <c r="X187" s="430"/>
      <c r="Y187" s="406" t="s">
        <v>70</v>
      </c>
    </row>
    <row r="188" spans="1:25" s="174" customFormat="1" ht="22.5" customHeight="1" thickTop="1" thickBot="1" x14ac:dyDescent="0.3">
      <c r="A188" s="434" t="s">
        <v>67</v>
      </c>
      <c r="B188" s="434" t="s">
        <v>71</v>
      </c>
      <c r="C188" s="426" t="s">
        <v>85</v>
      </c>
      <c r="D188" s="426" t="s">
        <v>89</v>
      </c>
      <c r="E188" s="434" t="s">
        <v>71</v>
      </c>
      <c r="F188" s="425" t="s">
        <v>71</v>
      </c>
      <c r="G188" s="425"/>
      <c r="H188" s="426"/>
      <c r="I188" s="426"/>
      <c r="J188" s="427" t="s">
        <v>279</v>
      </c>
      <c r="K188" s="441"/>
      <c r="L188" s="441"/>
      <c r="M188" s="441"/>
      <c r="N188" s="441"/>
      <c r="O188" s="441"/>
      <c r="P188" s="441"/>
      <c r="Q188" s="441"/>
      <c r="R188" s="441"/>
      <c r="S188" s="441"/>
      <c r="T188" s="441"/>
      <c r="U188" s="436"/>
      <c r="V188" s="425"/>
      <c r="W188" s="430"/>
      <c r="X188" s="430"/>
      <c r="Y188" s="406"/>
    </row>
    <row r="189" spans="1:25" ht="22.5" customHeight="1" thickTop="1" thickBot="1" x14ac:dyDescent="0.3">
      <c r="A189" s="434" t="s">
        <v>67</v>
      </c>
      <c r="B189" s="434" t="s">
        <v>71</v>
      </c>
      <c r="C189" s="426" t="s">
        <v>85</v>
      </c>
      <c r="D189" s="426" t="s">
        <v>89</v>
      </c>
      <c r="E189" s="434" t="s">
        <v>71</v>
      </c>
      <c r="F189" s="426" t="s">
        <v>71</v>
      </c>
      <c r="G189" s="425" t="s">
        <v>71</v>
      </c>
      <c r="H189" s="426"/>
      <c r="I189" s="426"/>
      <c r="J189" s="427" t="s">
        <v>280</v>
      </c>
      <c r="K189" s="441"/>
      <c r="L189" s="441"/>
      <c r="M189" s="441"/>
      <c r="N189" s="441"/>
      <c r="O189" s="441"/>
      <c r="P189" s="441"/>
      <c r="Q189" s="441"/>
      <c r="R189" s="441"/>
      <c r="S189" s="441"/>
      <c r="T189" s="441"/>
      <c r="U189" s="436"/>
      <c r="V189" s="425"/>
      <c r="W189" s="434" t="s">
        <v>218</v>
      </c>
      <c r="X189" s="434"/>
      <c r="Y189" s="406" t="s">
        <v>70</v>
      </c>
    </row>
    <row r="190" spans="1:25" ht="22.5" customHeight="1" thickTop="1" thickBot="1" x14ac:dyDescent="0.3">
      <c r="A190" s="434" t="s">
        <v>67</v>
      </c>
      <c r="B190" s="434" t="s">
        <v>71</v>
      </c>
      <c r="C190" s="426" t="s">
        <v>85</v>
      </c>
      <c r="D190" s="426" t="s">
        <v>89</v>
      </c>
      <c r="E190" s="434" t="s">
        <v>71</v>
      </c>
      <c r="F190" s="426" t="s">
        <v>71</v>
      </c>
      <c r="G190" s="426" t="s">
        <v>71</v>
      </c>
      <c r="H190" s="426" t="s">
        <v>71</v>
      </c>
      <c r="I190" s="426"/>
      <c r="J190" s="427" t="s">
        <v>281</v>
      </c>
      <c r="K190" s="442"/>
      <c r="L190" s="442"/>
      <c r="M190" s="442"/>
      <c r="N190" s="442"/>
      <c r="O190" s="442"/>
      <c r="P190" s="442"/>
      <c r="Q190" s="442"/>
      <c r="R190" s="442"/>
      <c r="S190" s="442"/>
      <c r="T190" s="442"/>
      <c r="U190" s="436"/>
      <c r="V190" s="425"/>
      <c r="W190" s="434"/>
      <c r="X190" s="434"/>
      <c r="Y190" s="406" t="s">
        <v>70</v>
      </c>
    </row>
    <row r="191" spans="1:25" ht="22.5" customHeight="1" thickTop="1" thickBot="1" x14ac:dyDescent="0.3">
      <c r="A191" s="434" t="s">
        <v>67</v>
      </c>
      <c r="B191" s="434" t="s">
        <v>71</v>
      </c>
      <c r="C191" s="426" t="s">
        <v>85</v>
      </c>
      <c r="D191" s="426" t="s">
        <v>89</v>
      </c>
      <c r="E191" s="434" t="s">
        <v>71</v>
      </c>
      <c r="F191" s="426" t="s">
        <v>71</v>
      </c>
      <c r="G191" s="426" t="s">
        <v>71</v>
      </c>
      <c r="H191" s="426" t="s">
        <v>71</v>
      </c>
      <c r="I191" s="426" t="s">
        <v>71</v>
      </c>
      <c r="J191" s="431" t="s">
        <v>282</v>
      </c>
      <c r="K191" s="442"/>
      <c r="L191" s="442"/>
      <c r="M191" s="442"/>
      <c r="N191" s="442"/>
      <c r="O191" s="442"/>
      <c r="P191" s="442"/>
      <c r="Q191" s="442"/>
      <c r="R191" s="442"/>
      <c r="S191" s="442"/>
      <c r="T191" s="442"/>
      <c r="U191" s="438"/>
      <c r="V191" s="425"/>
      <c r="W191" s="434"/>
      <c r="X191" s="434"/>
      <c r="Y191" s="406"/>
    </row>
    <row r="192" spans="1:25" ht="22.5" customHeight="1" thickTop="1" thickBot="1" x14ac:dyDescent="0.3">
      <c r="A192" s="434" t="s">
        <v>67</v>
      </c>
      <c r="B192" s="434" t="s">
        <v>71</v>
      </c>
      <c r="C192" s="426" t="s">
        <v>85</v>
      </c>
      <c r="D192" s="426" t="s">
        <v>89</v>
      </c>
      <c r="E192" s="434" t="s">
        <v>71</v>
      </c>
      <c r="F192" s="426" t="s">
        <v>71</v>
      </c>
      <c r="G192" s="426" t="s">
        <v>71</v>
      </c>
      <c r="H192" s="426" t="s">
        <v>71</v>
      </c>
      <c r="I192" s="426" t="s">
        <v>85</v>
      </c>
      <c r="J192" s="431" t="s">
        <v>283</v>
      </c>
      <c r="K192" s="442"/>
      <c r="L192" s="442"/>
      <c r="M192" s="442"/>
      <c r="N192" s="442"/>
      <c r="O192" s="442"/>
      <c r="P192" s="442"/>
      <c r="Q192" s="442"/>
      <c r="R192" s="442"/>
      <c r="S192" s="442"/>
      <c r="T192" s="442"/>
      <c r="U192" s="438"/>
      <c r="V192" s="425"/>
      <c r="W192" s="434"/>
      <c r="X192" s="434"/>
      <c r="Y192" s="406"/>
    </row>
    <row r="193" spans="1:25" ht="22.5" customHeight="1" thickTop="1" thickBot="1" x14ac:dyDescent="0.3">
      <c r="A193" s="434" t="s">
        <v>67</v>
      </c>
      <c r="B193" s="434" t="s">
        <v>71</v>
      </c>
      <c r="C193" s="426" t="s">
        <v>85</v>
      </c>
      <c r="D193" s="426" t="s">
        <v>89</v>
      </c>
      <c r="E193" s="434" t="s">
        <v>71</v>
      </c>
      <c r="F193" s="426" t="s">
        <v>71</v>
      </c>
      <c r="G193" s="426" t="s">
        <v>71</v>
      </c>
      <c r="H193" s="426" t="s">
        <v>85</v>
      </c>
      <c r="I193" s="426"/>
      <c r="J193" s="427" t="s">
        <v>284</v>
      </c>
      <c r="K193" s="442"/>
      <c r="L193" s="442"/>
      <c r="M193" s="442"/>
      <c r="N193" s="442"/>
      <c r="O193" s="442"/>
      <c r="P193" s="442"/>
      <c r="Q193" s="442"/>
      <c r="R193" s="442"/>
      <c r="S193" s="442"/>
      <c r="T193" s="442"/>
      <c r="U193" s="436"/>
      <c r="V193" s="425"/>
      <c r="W193" s="434"/>
      <c r="X193" s="434"/>
      <c r="Y193" s="406" t="s">
        <v>70</v>
      </c>
    </row>
    <row r="194" spans="1:25" ht="22.5" customHeight="1" thickTop="1" thickBot="1" x14ac:dyDescent="0.3">
      <c r="A194" s="434" t="s">
        <v>67</v>
      </c>
      <c r="B194" s="434" t="s">
        <v>71</v>
      </c>
      <c r="C194" s="426" t="s">
        <v>85</v>
      </c>
      <c r="D194" s="426" t="s">
        <v>89</v>
      </c>
      <c r="E194" s="434" t="s">
        <v>71</v>
      </c>
      <c r="F194" s="426" t="s">
        <v>71</v>
      </c>
      <c r="G194" s="426" t="s">
        <v>71</v>
      </c>
      <c r="H194" s="426" t="s">
        <v>85</v>
      </c>
      <c r="I194" s="426" t="s">
        <v>71</v>
      </c>
      <c r="J194" s="431" t="s">
        <v>285</v>
      </c>
      <c r="K194" s="442"/>
      <c r="L194" s="442"/>
      <c r="M194" s="442"/>
      <c r="N194" s="442"/>
      <c r="O194" s="442"/>
      <c r="P194" s="442"/>
      <c r="Q194" s="442"/>
      <c r="R194" s="442"/>
      <c r="S194" s="442"/>
      <c r="T194" s="442"/>
      <c r="U194" s="438"/>
      <c r="V194" s="425"/>
      <c r="W194" s="434"/>
      <c r="X194" s="434"/>
      <c r="Y194" s="406"/>
    </row>
    <row r="195" spans="1:25" ht="22.5" customHeight="1" thickTop="1" thickBot="1" x14ac:dyDescent="0.3">
      <c r="A195" s="434" t="s">
        <v>67</v>
      </c>
      <c r="B195" s="434" t="s">
        <v>71</v>
      </c>
      <c r="C195" s="426" t="s">
        <v>85</v>
      </c>
      <c r="D195" s="426" t="s">
        <v>89</v>
      </c>
      <c r="E195" s="434" t="s">
        <v>71</v>
      </c>
      <c r="F195" s="426" t="s">
        <v>71</v>
      </c>
      <c r="G195" s="426" t="s">
        <v>71</v>
      </c>
      <c r="H195" s="426" t="s">
        <v>85</v>
      </c>
      <c r="I195" s="426" t="s">
        <v>85</v>
      </c>
      <c r="J195" s="431" t="s">
        <v>286</v>
      </c>
      <c r="K195" s="442"/>
      <c r="L195" s="442"/>
      <c r="M195" s="442"/>
      <c r="N195" s="442"/>
      <c r="O195" s="442"/>
      <c r="P195" s="442"/>
      <c r="Q195" s="442"/>
      <c r="R195" s="442"/>
      <c r="S195" s="442"/>
      <c r="T195" s="442"/>
      <c r="U195" s="438"/>
      <c r="V195" s="425"/>
      <c r="W195" s="434"/>
      <c r="X195" s="434"/>
      <c r="Y195" s="406"/>
    </row>
    <row r="196" spans="1:25" ht="22.5" customHeight="1" thickTop="1" thickBot="1" x14ac:dyDescent="0.3">
      <c r="A196" s="434" t="s">
        <v>67</v>
      </c>
      <c r="B196" s="434" t="s">
        <v>71</v>
      </c>
      <c r="C196" s="426" t="s">
        <v>85</v>
      </c>
      <c r="D196" s="426" t="s">
        <v>89</v>
      </c>
      <c r="E196" s="434" t="s">
        <v>71</v>
      </c>
      <c r="F196" s="425" t="s">
        <v>85</v>
      </c>
      <c r="G196" s="426"/>
      <c r="H196" s="426"/>
      <c r="I196" s="426"/>
      <c r="J196" s="427" t="s">
        <v>287</v>
      </c>
      <c r="K196" s="442"/>
      <c r="L196" s="442"/>
      <c r="M196" s="442"/>
      <c r="N196" s="442"/>
      <c r="O196" s="442"/>
      <c r="P196" s="442"/>
      <c r="Q196" s="442"/>
      <c r="R196" s="442"/>
      <c r="S196" s="442"/>
      <c r="T196" s="442"/>
      <c r="U196" s="436"/>
      <c r="V196" s="425"/>
      <c r="W196" s="434"/>
      <c r="X196" s="434"/>
      <c r="Y196" s="406"/>
    </row>
    <row r="197" spans="1:25" ht="22.5" customHeight="1" thickTop="1" thickBot="1" x14ac:dyDescent="0.3">
      <c r="A197" s="434" t="s">
        <v>67</v>
      </c>
      <c r="B197" s="434" t="s">
        <v>71</v>
      </c>
      <c r="C197" s="426" t="s">
        <v>85</v>
      </c>
      <c r="D197" s="426" t="s">
        <v>89</v>
      </c>
      <c r="E197" s="434" t="s">
        <v>71</v>
      </c>
      <c r="F197" s="426" t="s">
        <v>85</v>
      </c>
      <c r="G197" s="425" t="s">
        <v>71</v>
      </c>
      <c r="H197" s="426"/>
      <c r="I197" s="426"/>
      <c r="J197" s="431" t="s">
        <v>288</v>
      </c>
      <c r="K197" s="442"/>
      <c r="L197" s="442"/>
      <c r="M197" s="442"/>
      <c r="N197" s="442"/>
      <c r="O197" s="442"/>
      <c r="P197" s="442"/>
      <c r="Q197" s="442"/>
      <c r="R197" s="442"/>
      <c r="S197" s="442"/>
      <c r="T197" s="442"/>
      <c r="U197" s="438"/>
      <c r="V197" s="425"/>
      <c r="W197" s="434"/>
      <c r="X197" s="434"/>
      <c r="Y197" s="406"/>
    </row>
    <row r="198" spans="1:25" ht="22.5" customHeight="1" thickTop="1" thickBot="1" x14ac:dyDescent="0.3">
      <c r="A198" s="434" t="s">
        <v>67</v>
      </c>
      <c r="B198" s="434" t="s">
        <v>71</v>
      </c>
      <c r="C198" s="426" t="s">
        <v>85</v>
      </c>
      <c r="D198" s="426" t="s">
        <v>89</v>
      </c>
      <c r="E198" s="434" t="s">
        <v>71</v>
      </c>
      <c r="F198" s="426" t="s">
        <v>85</v>
      </c>
      <c r="G198" s="425" t="s">
        <v>85</v>
      </c>
      <c r="H198" s="426"/>
      <c r="I198" s="426"/>
      <c r="J198" s="431" t="s">
        <v>289</v>
      </c>
      <c r="K198" s="442"/>
      <c r="L198" s="442"/>
      <c r="M198" s="442"/>
      <c r="N198" s="442"/>
      <c r="O198" s="442"/>
      <c r="P198" s="442"/>
      <c r="Q198" s="442"/>
      <c r="R198" s="442"/>
      <c r="S198" s="442"/>
      <c r="T198" s="442"/>
      <c r="U198" s="438"/>
      <c r="V198" s="425"/>
      <c r="W198" s="434"/>
      <c r="X198" s="434"/>
      <c r="Y198" s="406"/>
    </row>
    <row r="199" spans="1:25" s="174" customFormat="1" ht="22.5" customHeight="1" thickTop="1" thickBot="1" x14ac:dyDescent="0.3">
      <c r="A199" s="430" t="s">
        <v>67</v>
      </c>
      <c r="B199" s="430" t="s">
        <v>71</v>
      </c>
      <c r="C199" s="425" t="s">
        <v>85</v>
      </c>
      <c r="D199" s="425" t="s">
        <v>89</v>
      </c>
      <c r="E199" s="425" t="s">
        <v>85</v>
      </c>
      <c r="F199" s="425"/>
      <c r="G199" s="425"/>
      <c r="H199" s="426"/>
      <c r="I199" s="426"/>
      <c r="J199" s="427" t="s">
        <v>290</v>
      </c>
      <c r="K199" s="443"/>
      <c r="L199" s="443"/>
      <c r="M199" s="443"/>
      <c r="N199" s="443"/>
      <c r="O199" s="443"/>
      <c r="P199" s="443"/>
      <c r="Q199" s="443"/>
      <c r="R199" s="443"/>
      <c r="S199" s="443"/>
      <c r="T199" s="443"/>
      <c r="U199" s="429"/>
      <c r="V199" s="425"/>
      <c r="W199" s="430" t="s">
        <v>291</v>
      </c>
      <c r="X199" s="430"/>
      <c r="Y199" s="406" t="s">
        <v>70</v>
      </c>
    </row>
    <row r="200" spans="1:25" ht="22.5" customHeight="1" thickTop="1" thickBot="1" x14ac:dyDescent="0.3">
      <c r="A200" s="426" t="s">
        <v>67</v>
      </c>
      <c r="B200" s="434" t="s">
        <v>71</v>
      </c>
      <c r="C200" s="426" t="s">
        <v>85</v>
      </c>
      <c r="D200" s="426" t="s">
        <v>89</v>
      </c>
      <c r="E200" s="426" t="s">
        <v>85</v>
      </c>
      <c r="F200" s="425" t="s">
        <v>71</v>
      </c>
      <c r="G200" s="426"/>
      <c r="H200" s="426"/>
      <c r="I200" s="426"/>
      <c r="J200" s="427" t="s">
        <v>292</v>
      </c>
      <c r="K200" s="441"/>
      <c r="L200" s="441"/>
      <c r="M200" s="441"/>
      <c r="N200" s="441"/>
      <c r="O200" s="441"/>
      <c r="P200" s="441"/>
      <c r="Q200" s="441"/>
      <c r="R200" s="441"/>
      <c r="S200" s="441"/>
      <c r="T200" s="441"/>
      <c r="U200" s="436"/>
      <c r="V200" s="425"/>
      <c r="W200" s="434" t="s">
        <v>293</v>
      </c>
      <c r="X200" s="434" t="s">
        <v>294</v>
      </c>
      <c r="Y200" s="406" t="s">
        <v>70</v>
      </c>
    </row>
    <row r="201" spans="1:25" ht="22.5" customHeight="1" thickTop="1" thickBot="1" x14ac:dyDescent="0.3">
      <c r="A201" s="434" t="s">
        <v>67</v>
      </c>
      <c r="B201" s="434" t="s">
        <v>71</v>
      </c>
      <c r="C201" s="426" t="s">
        <v>85</v>
      </c>
      <c r="D201" s="426" t="s">
        <v>89</v>
      </c>
      <c r="E201" s="426" t="s">
        <v>85</v>
      </c>
      <c r="F201" s="426" t="s">
        <v>71</v>
      </c>
      <c r="G201" s="425" t="s">
        <v>71</v>
      </c>
      <c r="H201" s="426"/>
      <c r="I201" s="426"/>
      <c r="J201" s="431" t="s">
        <v>295</v>
      </c>
      <c r="K201" s="442"/>
      <c r="L201" s="442"/>
      <c r="M201" s="442"/>
      <c r="N201" s="442"/>
      <c r="O201" s="442"/>
      <c r="P201" s="442"/>
      <c r="Q201" s="442"/>
      <c r="R201" s="442"/>
      <c r="S201" s="442"/>
      <c r="T201" s="442"/>
      <c r="U201" s="438"/>
      <c r="V201" s="425"/>
      <c r="W201" s="434"/>
      <c r="X201" s="434"/>
      <c r="Y201" s="406" t="s">
        <v>70</v>
      </c>
    </row>
    <row r="202" spans="1:25" ht="22.5" customHeight="1" thickTop="1" thickBot="1" x14ac:dyDescent="0.3">
      <c r="A202" s="434" t="s">
        <v>67</v>
      </c>
      <c r="B202" s="434" t="s">
        <v>71</v>
      </c>
      <c r="C202" s="426" t="s">
        <v>85</v>
      </c>
      <c r="D202" s="426" t="s">
        <v>89</v>
      </c>
      <c r="E202" s="426" t="s">
        <v>85</v>
      </c>
      <c r="F202" s="426" t="s">
        <v>71</v>
      </c>
      <c r="G202" s="425" t="s">
        <v>85</v>
      </c>
      <c r="H202" s="426"/>
      <c r="I202" s="426"/>
      <c r="J202" s="431" t="s">
        <v>296</v>
      </c>
      <c r="K202" s="442"/>
      <c r="L202" s="442"/>
      <c r="M202" s="442"/>
      <c r="N202" s="442"/>
      <c r="O202" s="442"/>
      <c r="P202" s="442"/>
      <c r="Q202" s="442"/>
      <c r="R202" s="442"/>
      <c r="S202" s="442"/>
      <c r="T202" s="442"/>
      <c r="U202" s="438"/>
      <c r="V202" s="425"/>
      <c r="W202" s="434"/>
      <c r="X202" s="434"/>
      <c r="Y202" s="406" t="s">
        <v>70</v>
      </c>
    </row>
    <row r="203" spans="1:25" ht="22.5" customHeight="1" thickTop="1" thickBot="1" x14ac:dyDescent="0.3">
      <c r="A203" s="434" t="s">
        <v>67</v>
      </c>
      <c r="B203" s="434" t="s">
        <v>71</v>
      </c>
      <c r="C203" s="426" t="s">
        <v>85</v>
      </c>
      <c r="D203" s="426" t="s">
        <v>89</v>
      </c>
      <c r="E203" s="426" t="s">
        <v>85</v>
      </c>
      <c r="F203" s="425" t="s">
        <v>85</v>
      </c>
      <c r="G203" s="426"/>
      <c r="H203" s="426"/>
      <c r="I203" s="426"/>
      <c r="J203" s="427" t="s">
        <v>297</v>
      </c>
      <c r="K203" s="441"/>
      <c r="L203" s="441"/>
      <c r="M203" s="441"/>
      <c r="N203" s="441"/>
      <c r="O203" s="441"/>
      <c r="P203" s="441"/>
      <c r="Q203" s="441"/>
      <c r="R203" s="441"/>
      <c r="S203" s="441"/>
      <c r="T203" s="441"/>
      <c r="U203" s="436"/>
      <c r="V203" s="425"/>
      <c r="W203" s="434"/>
      <c r="X203" s="434"/>
      <c r="Y203" s="406" t="s">
        <v>70</v>
      </c>
    </row>
    <row r="204" spans="1:25" ht="22.5" customHeight="1" thickTop="1" thickBot="1" x14ac:dyDescent="0.3">
      <c r="A204" s="434" t="s">
        <v>67</v>
      </c>
      <c r="B204" s="434" t="s">
        <v>71</v>
      </c>
      <c r="C204" s="426" t="s">
        <v>85</v>
      </c>
      <c r="D204" s="426" t="s">
        <v>89</v>
      </c>
      <c r="E204" s="426" t="s">
        <v>85</v>
      </c>
      <c r="F204" s="426" t="s">
        <v>85</v>
      </c>
      <c r="G204" s="425" t="s">
        <v>71</v>
      </c>
      <c r="H204" s="426"/>
      <c r="I204" s="426"/>
      <c r="J204" s="431" t="s">
        <v>298</v>
      </c>
      <c r="K204" s="442"/>
      <c r="L204" s="442"/>
      <c r="M204" s="442"/>
      <c r="N204" s="442"/>
      <c r="O204" s="442"/>
      <c r="P204" s="442"/>
      <c r="Q204" s="442"/>
      <c r="R204" s="442"/>
      <c r="S204" s="442"/>
      <c r="T204" s="442"/>
      <c r="U204" s="438"/>
      <c r="V204" s="425"/>
      <c r="W204" s="434"/>
      <c r="X204" s="434"/>
      <c r="Y204" s="406" t="s">
        <v>70</v>
      </c>
    </row>
    <row r="205" spans="1:25" ht="22.5" customHeight="1" thickTop="1" thickBot="1" x14ac:dyDescent="0.3">
      <c r="A205" s="434" t="s">
        <v>67</v>
      </c>
      <c r="B205" s="434" t="s">
        <v>71</v>
      </c>
      <c r="C205" s="426" t="s">
        <v>85</v>
      </c>
      <c r="D205" s="426" t="s">
        <v>89</v>
      </c>
      <c r="E205" s="426" t="s">
        <v>85</v>
      </c>
      <c r="F205" s="426" t="s">
        <v>85</v>
      </c>
      <c r="G205" s="425" t="s">
        <v>85</v>
      </c>
      <c r="H205" s="426"/>
      <c r="I205" s="426"/>
      <c r="J205" s="431" t="s">
        <v>299</v>
      </c>
      <c r="K205" s="442"/>
      <c r="L205" s="442"/>
      <c r="M205" s="442"/>
      <c r="N205" s="442"/>
      <c r="O205" s="442"/>
      <c r="P205" s="442"/>
      <c r="Q205" s="442"/>
      <c r="R205" s="442"/>
      <c r="S205" s="442"/>
      <c r="T205" s="442"/>
      <c r="U205" s="438"/>
      <c r="V205" s="425"/>
      <c r="W205" s="434"/>
      <c r="X205" s="434"/>
      <c r="Y205" s="406" t="s">
        <v>70</v>
      </c>
    </row>
    <row r="206" spans="1:25" ht="22.5" customHeight="1" thickTop="1" thickBot="1" x14ac:dyDescent="0.3">
      <c r="A206" s="434" t="s">
        <v>67</v>
      </c>
      <c r="B206" s="434" t="s">
        <v>71</v>
      </c>
      <c r="C206" s="426" t="s">
        <v>85</v>
      </c>
      <c r="D206" s="426" t="s">
        <v>89</v>
      </c>
      <c r="E206" s="426" t="s">
        <v>85</v>
      </c>
      <c r="F206" s="425" t="s">
        <v>87</v>
      </c>
      <c r="G206" s="426"/>
      <c r="H206" s="426"/>
      <c r="I206" s="426"/>
      <c r="J206" s="427" t="s">
        <v>300</v>
      </c>
      <c r="K206" s="441"/>
      <c r="L206" s="441"/>
      <c r="M206" s="441"/>
      <c r="N206" s="441"/>
      <c r="O206" s="441"/>
      <c r="P206" s="441"/>
      <c r="Q206" s="441"/>
      <c r="R206" s="441"/>
      <c r="S206" s="441"/>
      <c r="T206" s="441"/>
      <c r="U206" s="436"/>
      <c r="V206" s="425"/>
      <c r="W206" s="434"/>
      <c r="X206" s="434"/>
      <c r="Y206" s="406" t="s">
        <v>70</v>
      </c>
    </row>
    <row r="207" spans="1:25" ht="22.5" customHeight="1" thickTop="1" thickBot="1" x14ac:dyDescent="0.3">
      <c r="A207" s="434" t="s">
        <v>67</v>
      </c>
      <c r="B207" s="434" t="s">
        <v>71</v>
      </c>
      <c r="C207" s="426" t="s">
        <v>85</v>
      </c>
      <c r="D207" s="426" t="s">
        <v>89</v>
      </c>
      <c r="E207" s="426" t="s">
        <v>85</v>
      </c>
      <c r="F207" s="426" t="s">
        <v>87</v>
      </c>
      <c r="G207" s="425" t="s">
        <v>71</v>
      </c>
      <c r="H207" s="426"/>
      <c r="I207" s="426"/>
      <c r="J207" s="431" t="s">
        <v>301</v>
      </c>
      <c r="K207" s="442"/>
      <c r="L207" s="442"/>
      <c r="M207" s="442"/>
      <c r="N207" s="442"/>
      <c r="O207" s="442"/>
      <c r="P207" s="442"/>
      <c r="Q207" s="442"/>
      <c r="R207" s="442"/>
      <c r="S207" s="442"/>
      <c r="T207" s="442"/>
      <c r="U207" s="438"/>
      <c r="V207" s="425"/>
      <c r="W207" s="434"/>
      <c r="X207" s="434"/>
      <c r="Y207" s="406" t="s">
        <v>70</v>
      </c>
    </row>
    <row r="208" spans="1:25" ht="22.5" customHeight="1" thickTop="1" thickBot="1" x14ac:dyDescent="0.3">
      <c r="A208" s="434" t="s">
        <v>67</v>
      </c>
      <c r="B208" s="434" t="s">
        <v>71</v>
      </c>
      <c r="C208" s="426" t="s">
        <v>85</v>
      </c>
      <c r="D208" s="426" t="s">
        <v>89</v>
      </c>
      <c r="E208" s="426" t="s">
        <v>85</v>
      </c>
      <c r="F208" s="426" t="s">
        <v>87</v>
      </c>
      <c r="G208" s="425" t="s">
        <v>85</v>
      </c>
      <c r="H208" s="426"/>
      <c r="I208" s="426"/>
      <c r="J208" s="431" t="s">
        <v>302</v>
      </c>
      <c r="K208" s="442"/>
      <c r="L208" s="442"/>
      <c r="M208" s="442"/>
      <c r="N208" s="442"/>
      <c r="O208" s="442"/>
      <c r="P208" s="442"/>
      <c r="Q208" s="442"/>
      <c r="R208" s="442"/>
      <c r="S208" s="442"/>
      <c r="T208" s="442"/>
      <c r="U208" s="438"/>
      <c r="V208" s="425"/>
      <c r="W208" s="434"/>
      <c r="X208" s="434"/>
      <c r="Y208" s="406" t="s">
        <v>70</v>
      </c>
    </row>
    <row r="209" spans="1:25" ht="22.5" customHeight="1" thickTop="1" thickBot="1" x14ac:dyDescent="0.3">
      <c r="A209" s="434" t="s">
        <v>67</v>
      </c>
      <c r="B209" s="434" t="s">
        <v>71</v>
      </c>
      <c r="C209" s="426" t="s">
        <v>85</v>
      </c>
      <c r="D209" s="426" t="s">
        <v>89</v>
      </c>
      <c r="E209" s="426" t="s">
        <v>85</v>
      </c>
      <c r="F209" s="425" t="s">
        <v>89</v>
      </c>
      <c r="G209" s="426"/>
      <c r="H209" s="426"/>
      <c r="I209" s="426"/>
      <c r="J209" s="427" t="s">
        <v>303</v>
      </c>
      <c r="K209" s="441"/>
      <c r="L209" s="441"/>
      <c r="M209" s="441"/>
      <c r="N209" s="441"/>
      <c r="O209" s="441"/>
      <c r="P209" s="441"/>
      <c r="Q209" s="441"/>
      <c r="R209" s="441"/>
      <c r="S209" s="441"/>
      <c r="T209" s="441"/>
      <c r="U209" s="436"/>
      <c r="V209" s="425"/>
      <c r="W209" s="434"/>
      <c r="X209" s="434"/>
      <c r="Y209" s="406" t="s">
        <v>70</v>
      </c>
    </row>
    <row r="210" spans="1:25" ht="22.5" customHeight="1" thickTop="1" thickBot="1" x14ac:dyDescent="0.3">
      <c r="A210" s="434" t="s">
        <v>67</v>
      </c>
      <c r="B210" s="434" t="s">
        <v>71</v>
      </c>
      <c r="C210" s="426" t="s">
        <v>85</v>
      </c>
      <c r="D210" s="426" t="s">
        <v>89</v>
      </c>
      <c r="E210" s="426" t="s">
        <v>85</v>
      </c>
      <c r="F210" s="426" t="s">
        <v>89</v>
      </c>
      <c r="G210" s="425" t="s">
        <v>71</v>
      </c>
      <c r="H210" s="426"/>
      <c r="I210" s="426"/>
      <c r="J210" s="431" t="s">
        <v>304</v>
      </c>
      <c r="K210" s="442"/>
      <c r="L210" s="442"/>
      <c r="M210" s="442"/>
      <c r="N210" s="442"/>
      <c r="O210" s="442"/>
      <c r="P210" s="442"/>
      <c r="Q210" s="442"/>
      <c r="R210" s="442"/>
      <c r="S210" s="442"/>
      <c r="T210" s="442"/>
      <c r="U210" s="438"/>
      <c r="V210" s="425"/>
      <c r="W210" s="434"/>
      <c r="X210" s="434"/>
      <c r="Y210" s="406" t="s">
        <v>70</v>
      </c>
    </row>
    <row r="211" spans="1:25" ht="22.5" customHeight="1" thickTop="1" thickBot="1" x14ac:dyDescent="0.3">
      <c r="A211" s="434" t="s">
        <v>67</v>
      </c>
      <c r="B211" s="434" t="s">
        <v>71</v>
      </c>
      <c r="C211" s="426" t="s">
        <v>85</v>
      </c>
      <c r="D211" s="426" t="s">
        <v>89</v>
      </c>
      <c r="E211" s="426" t="s">
        <v>85</v>
      </c>
      <c r="F211" s="426" t="s">
        <v>89</v>
      </c>
      <c r="G211" s="425" t="s">
        <v>85</v>
      </c>
      <c r="H211" s="426"/>
      <c r="I211" s="426"/>
      <c r="J211" s="431" t="s">
        <v>305</v>
      </c>
      <c r="K211" s="442"/>
      <c r="L211" s="442"/>
      <c r="M211" s="442"/>
      <c r="N211" s="442"/>
      <c r="O211" s="442"/>
      <c r="P211" s="442"/>
      <c r="Q211" s="442"/>
      <c r="R211" s="442"/>
      <c r="S211" s="442"/>
      <c r="T211" s="442"/>
      <c r="U211" s="438"/>
      <c r="V211" s="425"/>
      <c r="W211" s="434"/>
      <c r="X211" s="434"/>
      <c r="Y211" s="406" t="s">
        <v>70</v>
      </c>
    </row>
    <row r="212" spans="1:25" s="490" customFormat="1" ht="22.5" customHeight="1" thickTop="1" thickBot="1" x14ac:dyDescent="0.3">
      <c r="A212" s="487" t="s">
        <v>67</v>
      </c>
      <c r="B212" s="481" t="s">
        <v>71</v>
      </c>
      <c r="C212" s="481" t="s">
        <v>85</v>
      </c>
      <c r="D212" s="481" t="s">
        <v>91</v>
      </c>
      <c r="E212" s="481"/>
      <c r="F212" s="481"/>
      <c r="G212" s="481"/>
      <c r="H212" s="480"/>
      <c r="I212" s="480"/>
      <c r="J212" s="482" t="s">
        <v>306</v>
      </c>
      <c r="K212" s="488"/>
      <c r="L212" s="488"/>
      <c r="M212" s="488"/>
      <c r="N212" s="488"/>
      <c r="O212" s="488"/>
      <c r="P212" s="488"/>
      <c r="Q212" s="488"/>
      <c r="R212" s="488"/>
      <c r="S212" s="488"/>
      <c r="T212" s="488"/>
      <c r="U212" s="489"/>
      <c r="V212" s="481"/>
      <c r="W212" s="481"/>
      <c r="X212" s="481"/>
      <c r="Y212" s="485" t="s">
        <v>70</v>
      </c>
    </row>
    <row r="213" spans="1:25" s="490" customFormat="1" ht="22.5" customHeight="1" thickTop="1" thickBot="1" x14ac:dyDescent="0.3">
      <c r="A213" s="487"/>
      <c r="B213" s="487"/>
      <c r="C213" s="481"/>
      <c r="D213" s="481"/>
      <c r="E213" s="481"/>
      <c r="F213" s="481"/>
      <c r="G213" s="481"/>
      <c r="H213" s="480"/>
      <c r="I213" s="480"/>
      <c r="J213" s="482"/>
      <c r="K213" s="488"/>
      <c r="L213" s="488"/>
      <c r="M213" s="488"/>
      <c r="N213" s="488"/>
      <c r="O213" s="488"/>
      <c r="P213" s="488"/>
      <c r="Q213" s="488"/>
      <c r="R213" s="488"/>
      <c r="S213" s="488"/>
      <c r="T213" s="488"/>
      <c r="U213" s="489"/>
      <c r="V213" s="481"/>
      <c r="W213" s="487"/>
      <c r="X213" s="487"/>
      <c r="Y213" s="485"/>
    </row>
    <row r="214" spans="1:25" s="486" customFormat="1" ht="22.5" customHeight="1" thickTop="1" thickBot="1" x14ac:dyDescent="0.3">
      <c r="A214" s="479"/>
      <c r="B214" s="481"/>
      <c r="C214" s="481"/>
      <c r="D214" s="481"/>
      <c r="E214" s="481"/>
      <c r="F214" s="481"/>
      <c r="G214" s="481"/>
      <c r="H214" s="480"/>
      <c r="I214" s="480"/>
      <c r="J214" s="482"/>
      <c r="K214" s="488"/>
      <c r="L214" s="488"/>
      <c r="M214" s="488"/>
      <c r="N214" s="488"/>
      <c r="O214" s="488"/>
      <c r="P214" s="488"/>
      <c r="Q214" s="488"/>
      <c r="R214" s="488"/>
      <c r="S214" s="488"/>
      <c r="T214" s="488"/>
      <c r="U214" s="488"/>
      <c r="V214" s="481"/>
      <c r="W214" s="481"/>
      <c r="X214" s="481"/>
      <c r="Y214" s="485"/>
    </row>
    <row r="215" spans="1:25" s="174" customFormat="1" ht="22.5" customHeight="1" thickTop="1" thickBot="1" x14ac:dyDescent="0.3">
      <c r="A215" s="407" t="s">
        <v>67</v>
      </c>
      <c r="B215" s="408" t="s">
        <v>85</v>
      </c>
      <c r="C215" s="408"/>
      <c r="D215" s="408"/>
      <c r="E215" s="408"/>
      <c r="F215" s="408"/>
      <c r="G215" s="408"/>
      <c r="H215" s="409"/>
      <c r="I215" s="409"/>
      <c r="J215" s="410" t="s">
        <v>307</v>
      </c>
      <c r="K215" s="411"/>
      <c r="L215" s="411"/>
      <c r="M215" s="411"/>
      <c r="N215" s="411"/>
      <c r="O215" s="411"/>
      <c r="P215" s="411"/>
      <c r="Q215" s="411"/>
      <c r="R215" s="411"/>
      <c r="S215" s="411"/>
      <c r="T215" s="411"/>
      <c r="U215" s="412"/>
      <c r="V215" s="407"/>
      <c r="W215" s="407" t="s">
        <v>308</v>
      </c>
      <c r="X215" s="407"/>
      <c r="Y215" s="406" t="s">
        <v>70</v>
      </c>
    </row>
    <row r="216" spans="1:25" s="174" customFormat="1" ht="22.5" customHeight="1" thickTop="1" thickBot="1" x14ac:dyDescent="0.3">
      <c r="A216" s="413" t="s">
        <v>67</v>
      </c>
      <c r="B216" s="414" t="s">
        <v>85</v>
      </c>
      <c r="C216" s="414" t="s">
        <v>71</v>
      </c>
      <c r="D216" s="414"/>
      <c r="E216" s="414"/>
      <c r="F216" s="414"/>
      <c r="G216" s="414"/>
      <c r="H216" s="415"/>
      <c r="I216" s="415"/>
      <c r="J216" s="416" t="s">
        <v>309</v>
      </c>
      <c r="K216" s="417"/>
      <c r="L216" s="417"/>
      <c r="M216" s="417"/>
      <c r="N216" s="417"/>
      <c r="O216" s="417"/>
      <c r="P216" s="417"/>
      <c r="Q216" s="417"/>
      <c r="R216" s="417"/>
      <c r="S216" s="417"/>
      <c r="T216" s="417"/>
      <c r="U216" s="418"/>
      <c r="V216" s="414"/>
      <c r="W216" s="413" t="s">
        <v>310</v>
      </c>
      <c r="X216" s="414"/>
      <c r="Y216" s="406" t="s">
        <v>70</v>
      </c>
    </row>
    <row r="217" spans="1:25" s="174" customFormat="1" ht="22.5" customHeight="1" thickTop="1" thickBot="1" x14ac:dyDescent="0.3">
      <c r="A217" s="419" t="s">
        <v>67</v>
      </c>
      <c r="B217" s="420" t="s">
        <v>85</v>
      </c>
      <c r="C217" s="420" t="s">
        <v>71</v>
      </c>
      <c r="D217" s="420" t="s">
        <v>71</v>
      </c>
      <c r="E217" s="420"/>
      <c r="F217" s="420"/>
      <c r="G217" s="420"/>
      <c r="H217" s="421"/>
      <c r="I217" s="421"/>
      <c r="J217" s="422" t="s">
        <v>311</v>
      </c>
      <c r="K217" s="423"/>
      <c r="L217" s="423"/>
      <c r="M217" s="423"/>
      <c r="N217" s="423"/>
      <c r="O217" s="423"/>
      <c r="P217" s="423"/>
      <c r="Q217" s="423"/>
      <c r="R217" s="423"/>
      <c r="S217" s="423"/>
      <c r="T217" s="423"/>
      <c r="U217" s="424"/>
      <c r="V217" s="420"/>
      <c r="W217" s="419" t="s">
        <v>312</v>
      </c>
      <c r="X217" s="419"/>
      <c r="Y217" s="406" t="s">
        <v>70</v>
      </c>
    </row>
    <row r="218" spans="1:25" s="174" customFormat="1" ht="22.5" customHeight="1" thickTop="1" thickBot="1" x14ac:dyDescent="0.3">
      <c r="A218" s="430" t="s">
        <v>67</v>
      </c>
      <c r="B218" s="425" t="s">
        <v>85</v>
      </c>
      <c r="C218" s="425" t="s">
        <v>71</v>
      </c>
      <c r="D218" s="425" t="s">
        <v>71</v>
      </c>
      <c r="E218" s="425" t="s">
        <v>71</v>
      </c>
      <c r="F218" s="425"/>
      <c r="G218" s="425"/>
      <c r="H218" s="426"/>
      <c r="I218" s="426"/>
      <c r="J218" s="427" t="s">
        <v>313</v>
      </c>
      <c r="K218" s="428"/>
      <c r="L218" s="428"/>
      <c r="M218" s="428"/>
      <c r="N218" s="428"/>
      <c r="O218" s="428"/>
      <c r="P218" s="428"/>
      <c r="Q218" s="428"/>
      <c r="R218" s="428"/>
      <c r="S218" s="428"/>
      <c r="T218" s="428"/>
      <c r="U218" s="429"/>
      <c r="V218" s="425"/>
      <c r="W218" s="430" t="s">
        <v>314</v>
      </c>
      <c r="X218" s="430"/>
      <c r="Y218" s="406" t="s">
        <v>70</v>
      </c>
    </row>
    <row r="219" spans="1:25" ht="22.5" customHeight="1" thickTop="1" thickBot="1" x14ac:dyDescent="0.3">
      <c r="A219" s="434" t="s">
        <v>67</v>
      </c>
      <c r="B219" s="426" t="s">
        <v>85</v>
      </c>
      <c r="C219" s="426" t="s">
        <v>71</v>
      </c>
      <c r="D219" s="426" t="s">
        <v>71</v>
      </c>
      <c r="E219" s="426" t="s">
        <v>71</v>
      </c>
      <c r="F219" s="425" t="s">
        <v>71</v>
      </c>
      <c r="G219" s="426"/>
      <c r="H219" s="426"/>
      <c r="I219" s="426"/>
      <c r="J219" s="431" t="s">
        <v>315</v>
      </c>
      <c r="K219" s="432"/>
      <c r="L219" s="432"/>
      <c r="M219" s="432"/>
      <c r="N219" s="432"/>
      <c r="O219" s="432"/>
      <c r="P219" s="432"/>
      <c r="Q219" s="432"/>
      <c r="R219" s="432"/>
      <c r="S219" s="432"/>
      <c r="T219" s="432"/>
      <c r="U219" s="433"/>
      <c r="V219" s="425"/>
      <c r="W219" s="434" t="s">
        <v>316</v>
      </c>
      <c r="X219" s="434"/>
      <c r="Y219" s="406" t="s">
        <v>70</v>
      </c>
    </row>
    <row r="220" spans="1:25" ht="22.5" customHeight="1" thickTop="1" thickBot="1" x14ac:dyDescent="0.3">
      <c r="A220" s="434" t="s">
        <v>67</v>
      </c>
      <c r="B220" s="426" t="s">
        <v>85</v>
      </c>
      <c r="C220" s="426" t="s">
        <v>71</v>
      </c>
      <c r="D220" s="426" t="s">
        <v>71</v>
      </c>
      <c r="E220" s="426" t="s">
        <v>71</v>
      </c>
      <c r="F220" s="425" t="s">
        <v>85</v>
      </c>
      <c r="G220" s="426"/>
      <c r="H220" s="426"/>
      <c r="I220" s="426"/>
      <c r="J220" s="431" t="s">
        <v>317</v>
      </c>
      <c r="K220" s="432"/>
      <c r="L220" s="432"/>
      <c r="M220" s="432"/>
      <c r="N220" s="432"/>
      <c r="O220" s="432"/>
      <c r="P220" s="432"/>
      <c r="Q220" s="432"/>
      <c r="R220" s="432"/>
      <c r="S220" s="432"/>
      <c r="T220" s="432"/>
      <c r="U220" s="433"/>
      <c r="V220" s="425"/>
      <c r="W220" s="434" t="s">
        <v>318</v>
      </c>
      <c r="X220" s="434"/>
      <c r="Y220" s="406" t="s">
        <v>70</v>
      </c>
    </row>
    <row r="221" spans="1:25" ht="22.5" customHeight="1" thickTop="1" thickBot="1" x14ac:dyDescent="0.3">
      <c r="A221" s="434" t="s">
        <v>67</v>
      </c>
      <c r="B221" s="426" t="s">
        <v>85</v>
      </c>
      <c r="C221" s="426" t="s">
        <v>71</v>
      </c>
      <c r="D221" s="426" t="s">
        <v>71</v>
      </c>
      <c r="E221" s="426" t="s">
        <v>71</v>
      </c>
      <c r="F221" s="425" t="s">
        <v>87</v>
      </c>
      <c r="G221" s="426"/>
      <c r="H221" s="426"/>
      <c r="I221" s="426"/>
      <c r="J221" s="431" t="s">
        <v>319</v>
      </c>
      <c r="K221" s="432"/>
      <c r="L221" s="432"/>
      <c r="M221" s="432"/>
      <c r="N221" s="432"/>
      <c r="O221" s="432"/>
      <c r="P221" s="432"/>
      <c r="Q221" s="432"/>
      <c r="R221" s="432"/>
      <c r="S221" s="432"/>
      <c r="T221" s="432"/>
      <c r="U221" s="433"/>
      <c r="V221" s="425"/>
      <c r="W221" s="434" t="s">
        <v>320</v>
      </c>
      <c r="X221" s="434"/>
      <c r="Y221" s="406" t="s">
        <v>70</v>
      </c>
    </row>
    <row r="222" spans="1:25" ht="22.5" customHeight="1" thickTop="1" thickBot="1" x14ac:dyDescent="0.3">
      <c r="A222" s="434" t="s">
        <v>67</v>
      </c>
      <c r="B222" s="426" t="s">
        <v>85</v>
      </c>
      <c r="C222" s="426" t="s">
        <v>71</v>
      </c>
      <c r="D222" s="426" t="s">
        <v>71</v>
      </c>
      <c r="E222" s="426" t="s">
        <v>71</v>
      </c>
      <c r="F222" s="426" t="s">
        <v>87</v>
      </c>
      <c r="G222" s="425" t="s">
        <v>71</v>
      </c>
      <c r="H222" s="426"/>
      <c r="I222" s="426"/>
      <c r="J222" s="431" t="s">
        <v>321</v>
      </c>
      <c r="K222" s="428"/>
      <c r="L222" s="428"/>
      <c r="M222" s="428"/>
      <c r="N222" s="428"/>
      <c r="O222" s="428"/>
      <c r="P222" s="428"/>
      <c r="Q222" s="428"/>
      <c r="R222" s="428"/>
      <c r="S222" s="428"/>
      <c r="T222" s="428"/>
      <c r="U222" s="429"/>
      <c r="V222" s="425"/>
      <c r="W222" s="434" t="s">
        <v>322</v>
      </c>
      <c r="X222" s="434"/>
      <c r="Y222" s="406" t="s">
        <v>70</v>
      </c>
    </row>
    <row r="223" spans="1:25" s="174" customFormat="1" ht="22.5" customHeight="1" thickTop="1" thickBot="1" x14ac:dyDescent="0.3">
      <c r="A223" s="430" t="s">
        <v>67</v>
      </c>
      <c r="B223" s="425" t="s">
        <v>85</v>
      </c>
      <c r="C223" s="425" t="s">
        <v>71</v>
      </c>
      <c r="D223" s="425" t="s">
        <v>71</v>
      </c>
      <c r="E223" s="425" t="s">
        <v>85</v>
      </c>
      <c r="F223" s="425"/>
      <c r="G223" s="425"/>
      <c r="H223" s="426"/>
      <c r="I223" s="426"/>
      <c r="J223" s="427" t="s">
        <v>323</v>
      </c>
      <c r="K223" s="428"/>
      <c r="L223" s="428"/>
      <c r="M223" s="428"/>
      <c r="N223" s="428"/>
      <c r="O223" s="428"/>
      <c r="P223" s="428"/>
      <c r="Q223" s="428"/>
      <c r="R223" s="428"/>
      <c r="S223" s="428"/>
      <c r="T223" s="428"/>
      <c r="U223" s="429"/>
      <c r="V223" s="425"/>
      <c r="W223" s="430" t="s">
        <v>324</v>
      </c>
      <c r="X223" s="430"/>
      <c r="Y223" s="406" t="s">
        <v>70</v>
      </c>
    </row>
    <row r="224" spans="1:25" ht="22.5" customHeight="1" thickTop="1" thickBot="1" x14ac:dyDescent="0.3">
      <c r="A224" s="434" t="s">
        <v>67</v>
      </c>
      <c r="B224" s="426" t="s">
        <v>85</v>
      </c>
      <c r="C224" s="426" t="s">
        <v>71</v>
      </c>
      <c r="D224" s="426" t="s">
        <v>71</v>
      </c>
      <c r="E224" s="426" t="s">
        <v>85</v>
      </c>
      <c r="F224" s="425" t="s">
        <v>71</v>
      </c>
      <c r="G224" s="426"/>
      <c r="H224" s="426"/>
      <c r="I224" s="426"/>
      <c r="J224" s="431" t="s">
        <v>325</v>
      </c>
      <c r="K224" s="432"/>
      <c r="L224" s="432"/>
      <c r="M224" s="432"/>
      <c r="N224" s="432"/>
      <c r="O224" s="432"/>
      <c r="P224" s="432"/>
      <c r="Q224" s="432"/>
      <c r="R224" s="432"/>
      <c r="S224" s="432"/>
      <c r="T224" s="432"/>
      <c r="U224" s="433"/>
      <c r="V224" s="425"/>
      <c r="W224" s="434" t="s">
        <v>326</v>
      </c>
      <c r="X224" s="434"/>
      <c r="Y224" s="406" t="s">
        <v>70</v>
      </c>
    </row>
    <row r="225" spans="1:25" s="490" customFormat="1" ht="22.5" customHeight="1" thickTop="1" thickBot="1" x14ac:dyDescent="0.3">
      <c r="A225" s="487" t="s">
        <v>67</v>
      </c>
      <c r="B225" s="481" t="s">
        <v>85</v>
      </c>
      <c r="C225" s="481" t="s">
        <v>85</v>
      </c>
      <c r="D225" s="481"/>
      <c r="E225" s="481"/>
      <c r="F225" s="481"/>
      <c r="G225" s="481"/>
      <c r="H225" s="480"/>
      <c r="I225" s="480"/>
      <c r="J225" s="482" t="s">
        <v>327</v>
      </c>
      <c r="K225" s="488"/>
      <c r="L225" s="488"/>
      <c r="M225" s="488"/>
      <c r="N225" s="488"/>
      <c r="O225" s="488"/>
      <c r="P225" s="488"/>
      <c r="Q225" s="488"/>
      <c r="R225" s="488"/>
      <c r="S225" s="488"/>
      <c r="T225" s="488"/>
      <c r="U225" s="489"/>
      <c r="V225" s="481"/>
      <c r="W225" s="481" t="s">
        <v>328</v>
      </c>
      <c r="X225" s="481"/>
      <c r="Y225" s="485" t="s">
        <v>70</v>
      </c>
    </row>
    <row r="226" spans="1:25" s="490" customFormat="1" ht="22.5" customHeight="1" thickTop="1" thickBot="1" x14ac:dyDescent="0.3">
      <c r="A226" s="487"/>
      <c r="B226" s="481"/>
      <c r="C226" s="481"/>
      <c r="D226" s="481"/>
      <c r="E226" s="481"/>
      <c r="F226" s="481"/>
      <c r="G226" s="481"/>
      <c r="H226" s="480"/>
      <c r="I226" s="480"/>
      <c r="J226" s="482"/>
      <c r="K226" s="488"/>
      <c r="L226" s="488"/>
      <c r="M226" s="488"/>
      <c r="N226" s="488"/>
      <c r="O226" s="488"/>
      <c r="P226" s="488"/>
      <c r="Q226" s="488"/>
      <c r="R226" s="488"/>
      <c r="S226" s="488"/>
      <c r="T226" s="488"/>
      <c r="U226" s="489"/>
      <c r="V226" s="481"/>
      <c r="W226" s="487"/>
      <c r="X226" s="487"/>
      <c r="Y226" s="485"/>
    </row>
    <row r="227" spans="1:25" s="490" customFormat="1" ht="22.5" customHeight="1" thickTop="1" thickBot="1" x14ac:dyDescent="0.3">
      <c r="A227" s="487"/>
      <c r="B227" s="481"/>
      <c r="C227" s="481"/>
      <c r="D227" s="481"/>
      <c r="E227" s="481"/>
      <c r="F227" s="481"/>
      <c r="G227" s="481"/>
      <c r="H227" s="480"/>
      <c r="I227" s="480"/>
      <c r="J227" s="482"/>
      <c r="K227" s="488"/>
      <c r="L227" s="488"/>
      <c r="M227" s="488"/>
      <c r="N227" s="488"/>
      <c r="O227" s="488"/>
      <c r="P227" s="488"/>
      <c r="Q227" s="488"/>
      <c r="R227" s="488"/>
      <c r="S227" s="488"/>
      <c r="T227" s="488"/>
      <c r="U227" s="489"/>
      <c r="V227" s="481"/>
      <c r="W227" s="487"/>
      <c r="X227" s="487"/>
      <c r="Y227" s="485"/>
    </row>
    <row r="228" spans="1:25" s="490" customFormat="1" ht="22.5" customHeight="1" thickTop="1" thickBot="1" x14ac:dyDescent="0.3">
      <c r="A228" s="487"/>
      <c r="B228" s="481"/>
      <c r="C228" s="481"/>
      <c r="D228" s="481"/>
      <c r="E228" s="481"/>
      <c r="F228" s="481"/>
      <c r="G228" s="481"/>
      <c r="H228" s="480"/>
      <c r="I228" s="480"/>
      <c r="J228" s="482"/>
      <c r="K228" s="488"/>
      <c r="L228" s="488"/>
      <c r="M228" s="488"/>
      <c r="N228" s="488"/>
      <c r="O228" s="488"/>
      <c r="P228" s="488"/>
      <c r="Q228" s="488"/>
      <c r="R228" s="488"/>
      <c r="S228" s="488"/>
      <c r="T228" s="488"/>
      <c r="U228" s="489"/>
      <c r="V228" s="487"/>
      <c r="W228" s="487"/>
      <c r="X228" s="487"/>
      <c r="Y228" s="485"/>
    </row>
    <row r="229" spans="1:25" s="174" customFormat="1" ht="22.5" customHeight="1" thickTop="1" thickBot="1" x14ac:dyDescent="0.3">
      <c r="A229" s="413" t="s">
        <v>67</v>
      </c>
      <c r="B229" s="414" t="s">
        <v>85</v>
      </c>
      <c r="C229" s="414" t="s">
        <v>87</v>
      </c>
      <c r="D229" s="414"/>
      <c r="E229" s="414"/>
      <c r="F229" s="414"/>
      <c r="G229" s="414"/>
      <c r="H229" s="415"/>
      <c r="I229" s="415"/>
      <c r="J229" s="416" t="s">
        <v>329</v>
      </c>
      <c r="K229" s="445"/>
      <c r="L229" s="445"/>
      <c r="M229" s="445"/>
      <c r="N229" s="445"/>
      <c r="O229" s="445"/>
      <c r="P229" s="445"/>
      <c r="Q229" s="445"/>
      <c r="R229" s="445"/>
      <c r="S229" s="445"/>
      <c r="T229" s="445"/>
      <c r="U229" s="418"/>
      <c r="V229" s="414"/>
      <c r="W229" s="414" t="s">
        <v>330</v>
      </c>
      <c r="X229" s="414"/>
      <c r="Y229" s="406" t="s">
        <v>70</v>
      </c>
    </row>
    <row r="230" spans="1:25" s="174" customFormat="1" ht="22.5" customHeight="1" thickTop="1" thickBot="1" x14ac:dyDescent="0.3">
      <c r="A230" s="420" t="s">
        <v>67</v>
      </c>
      <c r="B230" s="420" t="s">
        <v>85</v>
      </c>
      <c r="C230" s="420" t="s">
        <v>87</v>
      </c>
      <c r="D230" s="420" t="s">
        <v>71</v>
      </c>
      <c r="E230" s="420"/>
      <c r="F230" s="420"/>
      <c r="G230" s="420"/>
      <c r="H230" s="421"/>
      <c r="I230" s="421"/>
      <c r="J230" s="422" t="s">
        <v>331</v>
      </c>
      <c r="K230" s="440"/>
      <c r="L230" s="440"/>
      <c r="M230" s="440"/>
      <c r="N230" s="440"/>
      <c r="O230" s="440"/>
      <c r="P230" s="440"/>
      <c r="Q230" s="440"/>
      <c r="R230" s="440"/>
      <c r="S230" s="440"/>
      <c r="T230" s="440"/>
      <c r="U230" s="424"/>
      <c r="V230" s="420"/>
      <c r="W230" s="419" t="s">
        <v>332</v>
      </c>
      <c r="X230" s="419" t="s">
        <v>333</v>
      </c>
      <c r="Y230" s="406" t="s">
        <v>70</v>
      </c>
    </row>
    <row r="231" spans="1:25" s="174" customFormat="1" ht="22.5" customHeight="1" thickTop="1" thickBot="1" x14ac:dyDescent="0.3">
      <c r="A231" s="430" t="s">
        <v>67</v>
      </c>
      <c r="B231" s="425" t="s">
        <v>85</v>
      </c>
      <c r="C231" s="425" t="s">
        <v>87</v>
      </c>
      <c r="D231" s="425" t="s">
        <v>71</v>
      </c>
      <c r="E231" s="425" t="s">
        <v>71</v>
      </c>
      <c r="F231" s="425"/>
      <c r="G231" s="425"/>
      <c r="H231" s="426"/>
      <c r="I231" s="426"/>
      <c r="J231" s="427" t="s">
        <v>334</v>
      </c>
      <c r="K231" s="443"/>
      <c r="L231" s="443"/>
      <c r="M231" s="443"/>
      <c r="N231" s="443"/>
      <c r="O231" s="443"/>
      <c r="P231" s="443"/>
      <c r="Q231" s="443"/>
      <c r="R231" s="443"/>
      <c r="S231" s="443"/>
      <c r="T231" s="443"/>
      <c r="U231" s="429"/>
      <c r="V231" s="430"/>
      <c r="W231" s="430" t="s">
        <v>335</v>
      </c>
      <c r="X231" s="430" t="s">
        <v>336</v>
      </c>
      <c r="Y231" s="406" t="s">
        <v>70</v>
      </c>
    </row>
    <row r="232" spans="1:25" s="174" customFormat="1" ht="22.5" customHeight="1" thickTop="1" thickBot="1" x14ac:dyDescent="0.3">
      <c r="A232" s="430" t="s">
        <v>67</v>
      </c>
      <c r="B232" s="425" t="s">
        <v>85</v>
      </c>
      <c r="C232" s="425" t="s">
        <v>87</v>
      </c>
      <c r="D232" s="425" t="s">
        <v>71</v>
      </c>
      <c r="E232" s="425" t="s">
        <v>85</v>
      </c>
      <c r="F232" s="425"/>
      <c r="G232" s="425"/>
      <c r="H232" s="426"/>
      <c r="I232" s="426"/>
      <c r="J232" s="427" t="s">
        <v>337</v>
      </c>
      <c r="K232" s="443"/>
      <c r="L232" s="443"/>
      <c r="M232" s="443"/>
      <c r="N232" s="443"/>
      <c r="O232" s="443"/>
      <c r="P232" s="443"/>
      <c r="Q232" s="443"/>
      <c r="R232" s="443"/>
      <c r="S232" s="443"/>
      <c r="T232" s="443"/>
      <c r="U232" s="429"/>
      <c r="V232" s="425"/>
      <c r="W232" s="430" t="s">
        <v>338</v>
      </c>
      <c r="X232" s="430"/>
      <c r="Y232" s="406" t="s">
        <v>70</v>
      </c>
    </row>
    <row r="233" spans="1:25" s="174" customFormat="1" ht="22.5" customHeight="1" thickTop="1" thickBot="1" x14ac:dyDescent="0.3">
      <c r="A233" s="419" t="s">
        <v>67</v>
      </c>
      <c r="B233" s="420" t="s">
        <v>85</v>
      </c>
      <c r="C233" s="420" t="s">
        <v>87</v>
      </c>
      <c r="D233" s="420" t="s">
        <v>85</v>
      </c>
      <c r="E233" s="420"/>
      <c r="F233" s="420"/>
      <c r="G233" s="420"/>
      <c r="H233" s="421"/>
      <c r="I233" s="421"/>
      <c r="J233" s="422" t="s">
        <v>339</v>
      </c>
      <c r="K233" s="440"/>
      <c r="L233" s="440"/>
      <c r="M233" s="440"/>
      <c r="N233" s="440"/>
      <c r="O233" s="440"/>
      <c r="P233" s="440"/>
      <c r="Q233" s="440"/>
      <c r="R233" s="440"/>
      <c r="S233" s="440"/>
      <c r="T233" s="440"/>
      <c r="U233" s="424"/>
      <c r="V233" s="420"/>
      <c r="W233" s="419" t="s">
        <v>340</v>
      </c>
      <c r="X233" s="419"/>
      <c r="Y233" s="406" t="s">
        <v>70</v>
      </c>
    </row>
    <row r="234" spans="1:25" s="174" customFormat="1" ht="22.5" customHeight="1" thickTop="1" thickBot="1" x14ac:dyDescent="0.3">
      <c r="A234" s="419" t="s">
        <v>67</v>
      </c>
      <c r="B234" s="420" t="s">
        <v>85</v>
      </c>
      <c r="C234" s="420" t="s">
        <v>87</v>
      </c>
      <c r="D234" s="420" t="s">
        <v>87</v>
      </c>
      <c r="E234" s="420"/>
      <c r="F234" s="420"/>
      <c r="G234" s="420"/>
      <c r="H234" s="421"/>
      <c r="I234" s="421"/>
      <c r="J234" s="422" t="s">
        <v>341</v>
      </c>
      <c r="K234" s="440"/>
      <c r="L234" s="440"/>
      <c r="M234" s="440"/>
      <c r="N234" s="440"/>
      <c r="O234" s="440"/>
      <c r="P234" s="440"/>
      <c r="Q234" s="440"/>
      <c r="R234" s="440"/>
      <c r="S234" s="440"/>
      <c r="T234" s="440"/>
      <c r="U234" s="424"/>
      <c r="V234" s="420"/>
      <c r="W234" s="419" t="s">
        <v>342</v>
      </c>
      <c r="X234" s="419" t="s">
        <v>343</v>
      </c>
      <c r="Y234" s="406" t="s">
        <v>70</v>
      </c>
    </row>
    <row r="235" spans="1:25" s="174" customFormat="1" ht="22.5" customHeight="1" thickTop="1" thickBot="1" x14ac:dyDescent="0.3">
      <c r="A235" s="413" t="s">
        <v>67</v>
      </c>
      <c r="B235" s="414" t="s">
        <v>85</v>
      </c>
      <c r="C235" s="414" t="s">
        <v>89</v>
      </c>
      <c r="D235" s="414"/>
      <c r="E235" s="414"/>
      <c r="F235" s="414"/>
      <c r="G235" s="414"/>
      <c r="H235" s="415"/>
      <c r="I235" s="415"/>
      <c r="J235" s="416" t="s">
        <v>344</v>
      </c>
      <c r="K235" s="445"/>
      <c r="L235" s="445"/>
      <c r="M235" s="445"/>
      <c r="N235" s="445"/>
      <c r="O235" s="445"/>
      <c r="P235" s="445"/>
      <c r="Q235" s="445"/>
      <c r="R235" s="445"/>
      <c r="S235" s="445"/>
      <c r="T235" s="445"/>
      <c r="U235" s="418"/>
      <c r="V235" s="414"/>
      <c r="W235" s="414" t="s">
        <v>345</v>
      </c>
      <c r="X235" s="414"/>
      <c r="Y235" s="406" t="s">
        <v>70</v>
      </c>
    </row>
    <row r="236" spans="1:25" s="174" customFormat="1" ht="22.5" customHeight="1" thickTop="1" thickBot="1" x14ac:dyDescent="0.3">
      <c r="A236" s="419" t="s">
        <v>67</v>
      </c>
      <c r="B236" s="420" t="s">
        <v>85</v>
      </c>
      <c r="C236" s="420" t="s">
        <v>89</v>
      </c>
      <c r="D236" s="420" t="s">
        <v>71</v>
      </c>
      <c r="E236" s="420"/>
      <c r="F236" s="420"/>
      <c r="G236" s="420"/>
      <c r="H236" s="421"/>
      <c r="I236" s="421"/>
      <c r="J236" s="422" t="s">
        <v>346</v>
      </c>
      <c r="K236" s="440"/>
      <c r="L236" s="440"/>
      <c r="M236" s="440"/>
      <c r="N236" s="440"/>
      <c r="O236" s="440"/>
      <c r="P236" s="440"/>
      <c r="Q236" s="440"/>
      <c r="R236" s="440"/>
      <c r="S236" s="440"/>
      <c r="T236" s="440"/>
      <c r="U236" s="424"/>
      <c r="V236" s="420"/>
      <c r="W236" s="419" t="s">
        <v>347</v>
      </c>
      <c r="X236" s="419" t="s">
        <v>348</v>
      </c>
      <c r="Y236" s="406" t="s">
        <v>70</v>
      </c>
    </row>
    <row r="237" spans="1:25" s="174" customFormat="1" ht="22.5" customHeight="1" thickTop="1" thickBot="1" x14ac:dyDescent="0.3">
      <c r="A237" s="430" t="s">
        <v>67</v>
      </c>
      <c r="B237" s="425" t="s">
        <v>85</v>
      </c>
      <c r="C237" s="425" t="s">
        <v>89</v>
      </c>
      <c r="D237" s="425" t="s">
        <v>71</v>
      </c>
      <c r="E237" s="425" t="s">
        <v>71</v>
      </c>
      <c r="F237" s="425"/>
      <c r="G237" s="425"/>
      <c r="H237" s="426"/>
      <c r="I237" s="426"/>
      <c r="J237" s="427" t="s">
        <v>349</v>
      </c>
      <c r="K237" s="443"/>
      <c r="L237" s="443"/>
      <c r="M237" s="443"/>
      <c r="N237" s="443"/>
      <c r="O237" s="443"/>
      <c r="P237" s="443"/>
      <c r="Q237" s="443"/>
      <c r="R237" s="443"/>
      <c r="S237" s="443"/>
      <c r="T237" s="443"/>
      <c r="U237" s="429"/>
      <c r="V237" s="430"/>
      <c r="W237" s="430" t="s">
        <v>350</v>
      </c>
      <c r="X237" s="430" t="s">
        <v>336</v>
      </c>
      <c r="Y237" s="406" t="s">
        <v>70</v>
      </c>
    </row>
    <row r="238" spans="1:25" ht="22.5" customHeight="1" thickTop="1" thickBot="1" x14ac:dyDescent="0.3">
      <c r="A238" s="434" t="s">
        <v>67</v>
      </c>
      <c r="B238" s="426" t="s">
        <v>85</v>
      </c>
      <c r="C238" s="426" t="s">
        <v>89</v>
      </c>
      <c r="D238" s="426" t="s">
        <v>71</v>
      </c>
      <c r="E238" s="426" t="s">
        <v>71</v>
      </c>
      <c r="F238" s="425" t="s">
        <v>71</v>
      </c>
      <c r="G238" s="426"/>
      <c r="H238" s="426"/>
      <c r="I238" s="426"/>
      <c r="J238" s="431" t="s">
        <v>351</v>
      </c>
      <c r="K238" s="444"/>
      <c r="L238" s="444"/>
      <c r="M238" s="444"/>
      <c r="N238" s="444"/>
      <c r="O238" s="444"/>
      <c r="P238" s="444"/>
      <c r="Q238" s="444"/>
      <c r="R238" s="444"/>
      <c r="S238" s="444"/>
      <c r="T238" s="444"/>
      <c r="U238" s="433"/>
      <c r="V238" s="426"/>
      <c r="W238" s="434" t="s">
        <v>352</v>
      </c>
      <c r="X238" s="434"/>
      <c r="Y238" s="406" t="s">
        <v>70</v>
      </c>
    </row>
    <row r="239" spans="1:25" ht="22.5" customHeight="1" thickTop="1" thickBot="1" x14ac:dyDescent="0.3">
      <c r="A239" s="434" t="s">
        <v>67</v>
      </c>
      <c r="B239" s="426" t="s">
        <v>85</v>
      </c>
      <c r="C239" s="426" t="s">
        <v>89</v>
      </c>
      <c r="D239" s="426" t="s">
        <v>71</v>
      </c>
      <c r="E239" s="426" t="s">
        <v>71</v>
      </c>
      <c r="F239" s="425" t="s">
        <v>85</v>
      </c>
      <c r="G239" s="426"/>
      <c r="H239" s="426"/>
      <c r="I239" s="426"/>
      <c r="J239" s="431" t="s">
        <v>353</v>
      </c>
      <c r="K239" s="444"/>
      <c r="L239" s="444"/>
      <c r="M239" s="444"/>
      <c r="N239" s="444"/>
      <c r="O239" s="444"/>
      <c r="P239" s="444"/>
      <c r="Q239" s="444"/>
      <c r="R239" s="444"/>
      <c r="S239" s="444"/>
      <c r="T239" s="444"/>
      <c r="U239" s="433"/>
      <c r="V239" s="434"/>
      <c r="W239" s="434" t="s">
        <v>354</v>
      </c>
      <c r="X239" s="434"/>
      <c r="Y239" s="406" t="s">
        <v>70</v>
      </c>
    </row>
    <row r="240" spans="1:25" s="174" customFormat="1" ht="22.5" customHeight="1" thickTop="1" thickBot="1" x14ac:dyDescent="0.3">
      <c r="A240" s="430" t="s">
        <v>67</v>
      </c>
      <c r="B240" s="425" t="s">
        <v>85</v>
      </c>
      <c r="C240" s="425" t="s">
        <v>89</v>
      </c>
      <c r="D240" s="425" t="s">
        <v>71</v>
      </c>
      <c r="E240" s="425" t="s">
        <v>85</v>
      </c>
      <c r="F240" s="425"/>
      <c r="G240" s="425"/>
      <c r="H240" s="426"/>
      <c r="I240" s="426"/>
      <c r="J240" s="427" t="s">
        <v>355</v>
      </c>
      <c r="K240" s="443"/>
      <c r="L240" s="443"/>
      <c r="M240" s="443"/>
      <c r="N240" s="443"/>
      <c r="O240" s="443"/>
      <c r="P240" s="443"/>
      <c r="Q240" s="443"/>
      <c r="R240" s="443"/>
      <c r="S240" s="443"/>
      <c r="T240" s="443"/>
      <c r="U240" s="429"/>
      <c r="V240" s="430"/>
      <c r="W240" s="430" t="s">
        <v>356</v>
      </c>
      <c r="X240" s="430"/>
      <c r="Y240" s="406" t="s">
        <v>70</v>
      </c>
    </row>
    <row r="241" spans="1:25" ht="22.5" customHeight="1" thickTop="1" thickBot="1" x14ac:dyDescent="0.3">
      <c r="A241" s="434" t="s">
        <v>67</v>
      </c>
      <c r="B241" s="426" t="s">
        <v>85</v>
      </c>
      <c r="C241" s="426" t="s">
        <v>89</v>
      </c>
      <c r="D241" s="426" t="s">
        <v>71</v>
      </c>
      <c r="E241" s="426" t="s">
        <v>85</v>
      </c>
      <c r="F241" s="425" t="s">
        <v>71</v>
      </c>
      <c r="G241" s="426"/>
      <c r="H241" s="426"/>
      <c r="I241" s="426"/>
      <c r="J241" s="431" t="s">
        <v>357</v>
      </c>
      <c r="K241" s="444"/>
      <c r="L241" s="444"/>
      <c r="M241" s="444"/>
      <c r="N241" s="444"/>
      <c r="O241" s="444"/>
      <c r="P241" s="444"/>
      <c r="Q241" s="444"/>
      <c r="R241" s="444"/>
      <c r="S241" s="444"/>
      <c r="T241" s="444"/>
      <c r="U241" s="433"/>
      <c r="V241" s="434"/>
      <c r="W241" s="434" t="s">
        <v>358</v>
      </c>
      <c r="X241" s="434"/>
      <c r="Y241" s="406" t="s">
        <v>70</v>
      </c>
    </row>
    <row r="242" spans="1:25" ht="22.5" customHeight="1" thickTop="1" thickBot="1" x14ac:dyDescent="0.3">
      <c r="A242" s="434" t="s">
        <v>67</v>
      </c>
      <c r="B242" s="426" t="s">
        <v>85</v>
      </c>
      <c r="C242" s="426" t="s">
        <v>89</v>
      </c>
      <c r="D242" s="426" t="s">
        <v>71</v>
      </c>
      <c r="E242" s="426" t="s">
        <v>85</v>
      </c>
      <c r="F242" s="425" t="s">
        <v>85</v>
      </c>
      <c r="G242" s="426"/>
      <c r="H242" s="426"/>
      <c r="I242" s="426"/>
      <c r="J242" s="431" t="s">
        <v>359</v>
      </c>
      <c r="K242" s="444"/>
      <c r="L242" s="444"/>
      <c r="M242" s="444"/>
      <c r="N242" s="444"/>
      <c r="O242" s="444"/>
      <c r="P242" s="444"/>
      <c r="Q242" s="444"/>
      <c r="R242" s="444"/>
      <c r="S242" s="444"/>
      <c r="T242" s="444"/>
      <c r="U242" s="433"/>
      <c r="V242" s="434"/>
      <c r="W242" s="434" t="s">
        <v>360</v>
      </c>
      <c r="X242" s="434"/>
      <c r="Y242" s="406" t="s">
        <v>70</v>
      </c>
    </row>
    <row r="243" spans="1:25" ht="22.5" customHeight="1" thickTop="1" thickBot="1" x14ac:dyDescent="0.3">
      <c r="A243" s="434" t="s">
        <v>67</v>
      </c>
      <c r="B243" s="426" t="s">
        <v>85</v>
      </c>
      <c r="C243" s="426" t="s">
        <v>89</v>
      </c>
      <c r="D243" s="426" t="s">
        <v>71</v>
      </c>
      <c r="E243" s="426" t="s">
        <v>85</v>
      </c>
      <c r="F243" s="425" t="s">
        <v>87</v>
      </c>
      <c r="G243" s="426"/>
      <c r="H243" s="426"/>
      <c r="I243" s="426"/>
      <c r="J243" s="431" t="s">
        <v>361</v>
      </c>
      <c r="K243" s="444"/>
      <c r="L243" s="444"/>
      <c r="M243" s="444"/>
      <c r="N243" s="444"/>
      <c r="O243" s="444"/>
      <c r="P243" s="444"/>
      <c r="Q243" s="444"/>
      <c r="R243" s="444"/>
      <c r="S243" s="444"/>
      <c r="T243" s="444"/>
      <c r="U243" s="433"/>
      <c r="V243" s="434"/>
      <c r="W243" s="434" t="s">
        <v>362</v>
      </c>
      <c r="X243" s="434"/>
      <c r="Y243" s="406" t="s">
        <v>70</v>
      </c>
    </row>
    <row r="244" spans="1:25" ht="22.5" customHeight="1" thickTop="1" thickBot="1" x14ac:dyDescent="0.3">
      <c r="A244" s="434" t="s">
        <v>67</v>
      </c>
      <c r="B244" s="426" t="s">
        <v>85</v>
      </c>
      <c r="C244" s="426" t="s">
        <v>89</v>
      </c>
      <c r="D244" s="426" t="s">
        <v>71</v>
      </c>
      <c r="E244" s="426" t="s">
        <v>85</v>
      </c>
      <c r="F244" s="425" t="s">
        <v>89</v>
      </c>
      <c r="G244" s="426"/>
      <c r="H244" s="426"/>
      <c r="I244" s="426"/>
      <c r="J244" s="431" t="s">
        <v>363</v>
      </c>
      <c r="K244" s="444"/>
      <c r="L244" s="444"/>
      <c r="M244" s="444"/>
      <c r="N244" s="444"/>
      <c r="O244" s="444"/>
      <c r="P244" s="444"/>
      <c r="Q244" s="444"/>
      <c r="R244" s="444"/>
      <c r="S244" s="444"/>
      <c r="T244" s="444"/>
      <c r="U244" s="433"/>
      <c r="V244" s="434"/>
      <c r="W244" s="434" t="s">
        <v>364</v>
      </c>
      <c r="X244" s="434"/>
      <c r="Y244" s="406" t="s">
        <v>70</v>
      </c>
    </row>
    <row r="245" spans="1:25" ht="22.5" customHeight="1" thickTop="1" thickBot="1" x14ac:dyDescent="0.3">
      <c r="A245" s="434" t="s">
        <v>67</v>
      </c>
      <c r="B245" s="426" t="s">
        <v>85</v>
      </c>
      <c r="C245" s="426" t="s">
        <v>89</v>
      </c>
      <c r="D245" s="426" t="s">
        <v>71</v>
      </c>
      <c r="E245" s="426" t="s">
        <v>85</v>
      </c>
      <c r="F245" s="425" t="s">
        <v>91</v>
      </c>
      <c r="G245" s="426"/>
      <c r="H245" s="426"/>
      <c r="I245" s="426"/>
      <c r="J245" s="431" t="s">
        <v>365</v>
      </c>
      <c r="K245" s="444"/>
      <c r="L245" s="444"/>
      <c r="M245" s="444"/>
      <c r="N245" s="444"/>
      <c r="O245" s="444"/>
      <c r="P245" s="444"/>
      <c r="Q245" s="444"/>
      <c r="R245" s="444"/>
      <c r="S245" s="444"/>
      <c r="T245" s="444"/>
      <c r="U245" s="433"/>
      <c r="V245" s="434"/>
      <c r="W245" s="434" t="s">
        <v>366</v>
      </c>
      <c r="X245" s="434" t="s">
        <v>367</v>
      </c>
      <c r="Y245" s="406" t="s">
        <v>70</v>
      </c>
    </row>
    <row r="246" spans="1:25" s="174" customFormat="1" ht="22.5" customHeight="1" thickTop="1" thickBot="1" x14ac:dyDescent="0.3">
      <c r="A246" s="430" t="s">
        <v>67</v>
      </c>
      <c r="B246" s="425" t="s">
        <v>85</v>
      </c>
      <c r="C246" s="425" t="s">
        <v>89</v>
      </c>
      <c r="D246" s="425" t="s">
        <v>71</v>
      </c>
      <c r="E246" s="425" t="s">
        <v>87</v>
      </c>
      <c r="F246" s="425"/>
      <c r="G246" s="425"/>
      <c r="H246" s="426"/>
      <c r="I246" s="426"/>
      <c r="J246" s="427" t="s">
        <v>368</v>
      </c>
      <c r="K246" s="443"/>
      <c r="L246" s="443"/>
      <c r="M246" s="443"/>
      <c r="N246" s="443"/>
      <c r="O246" s="443"/>
      <c r="P246" s="443"/>
      <c r="Q246" s="443"/>
      <c r="R246" s="443"/>
      <c r="S246" s="443"/>
      <c r="T246" s="443"/>
      <c r="U246" s="429"/>
      <c r="V246" s="430"/>
      <c r="W246" s="430" t="s">
        <v>369</v>
      </c>
      <c r="X246" s="430"/>
      <c r="Y246" s="406" t="s">
        <v>70</v>
      </c>
    </row>
    <row r="247" spans="1:25" s="174" customFormat="1" ht="22.5" customHeight="1" thickTop="1" thickBot="1" x14ac:dyDescent="0.3">
      <c r="A247" s="419" t="s">
        <v>67</v>
      </c>
      <c r="B247" s="420" t="s">
        <v>85</v>
      </c>
      <c r="C247" s="420" t="s">
        <v>89</v>
      </c>
      <c r="D247" s="420" t="s">
        <v>85</v>
      </c>
      <c r="E247" s="420"/>
      <c r="F247" s="420"/>
      <c r="G247" s="420"/>
      <c r="H247" s="421"/>
      <c r="I247" s="421"/>
      <c r="J247" s="422" t="s">
        <v>370</v>
      </c>
      <c r="K247" s="440"/>
      <c r="L247" s="440"/>
      <c r="M247" s="440"/>
      <c r="N247" s="440"/>
      <c r="O247" s="440"/>
      <c r="P247" s="440"/>
      <c r="Q247" s="440"/>
      <c r="R247" s="440"/>
      <c r="S247" s="440"/>
      <c r="T247" s="440"/>
      <c r="U247" s="424"/>
      <c r="V247" s="420"/>
      <c r="W247" s="419" t="s">
        <v>371</v>
      </c>
      <c r="X247" s="419" t="s">
        <v>372</v>
      </c>
      <c r="Y247" s="406" t="s">
        <v>70</v>
      </c>
    </row>
    <row r="248" spans="1:25" s="174" customFormat="1" ht="22.5" customHeight="1" thickTop="1" thickBot="1" x14ac:dyDescent="0.3">
      <c r="A248" s="430" t="s">
        <v>67</v>
      </c>
      <c r="B248" s="425" t="s">
        <v>85</v>
      </c>
      <c r="C248" s="425" t="s">
        <v>89</v>
      </c>
      <c r="D248" s="425" t="s">
        <v>85</v>
      </c>
      <c r="E248" s="425" t="s">
        <v>71</v>
      </c>
      <c r="F248" s="425"/>
      <c r="G248" s="425"/>
      <c r="H248" s="426"/>
      <c r="I248" s="426"/>
      <c r="J248" s="427" t="s">
        <v>373</v>
      </c>
      <c r="K248" s="446"/>
      <c r="L248" s="446"/>
      <c r="M248" s="446"/>
      <c r="N248" s="446"/>
      <c r="O248" s="446"/>
      <c r="P248" s="446"/>
      <c r="Q248" s="446"/>
      <c r="R248" s="446"/>
      <c r="S248" s="446"/>
      <c r="T248" s="446"/>
      <c r="U248" s="447"/>
      <c r="V248" s="425"/>
      <c r="W248" s="430" t="s">
        <v>374</v>
      </c>
      <c r="X248" s="430"/>
      <c r="Y248" s="406" t="s">
        <v>70</v>
      </c>
    </row>
    <row r="249" spans="1:25" ht="22.5" customHeight="1" thickTop="1" thickBot="1" x14ac:dyDescent="0.3">
      <c r="A249" s="434" t="s">
        <v>67</v>
      </c>
      <c r="B249" s="426" t="s">
        <v>85</v>
      </c>
      <c r="C249" s="426" t="s">
        <v>89</v>
      </c>
      <c r="D249" s="426" t="s">
        <v>85</v>
      </c>
      <c r="E249" s="426" t="s">
        <v>71</v>
      </c>
      <c r="F249" s="425" t="s">
        <v>71</v>
      </c>
      <c r="G249" s="426"/>
      <c r="H249" s="426"/>
      <c r="I249" s="426"/>
      <c r="J249" s="431" t="s">
        <v>375</v>
      </c>
      <c r="K249" s="448"/>
      <c r="L249" s="448"/>
      <c r="M249" s="448"/>
      <c r="N249" s="448"/>
      <c r="O249" s="448"/>
      <c r="P249" s="448"/>
      <c r="Q249" s="448"/>
      <c r="R249" s="448"/>
      <c r="S249" s="448"/>
      <c r="T249" s="448"/>
      <c r="U249" s="449"/>
      <c r="V249" s="426"/>
      <c r="W249" s="434" t="s">
        <v>376</v>
      </c>
      <c r="X249" s="434"/>
      <c r="Y249" s="406" t="s">
        <v>70</v>
      </c>
    </row>
    <row r="250" spans="1:25" ht="22.5" customHeight="1" thickTop="1" thickBot="1" x14ac:dyDescent="0.3">
      <c r="A250" s="434" t="s">
        <v>67</v>
      </c>
      <c r="B250" s="426" t="s">
        <v>85</v>
      </c>
      <c r="C250" s="426" t="s">
        <v>89</v>
      </c>
      <c r="D250" s="426" t="s">
        <v>85</v>
      </c>
      <c r="E250" s="426" t="s">
        <v>71</v>
      </c>
      <c r="F250" s="425" t="s">
        <v>85</v>
      </c>
      <c r="G250" s="426"/>
      <c r="H250" s="426"/>
      <c r="I250" s="426"/>
      <c r="J250" s="431" t="s">
        <v>377</v>
      </c>
      <c r="K250" s="448"/>
      <c r="L250" s="448"/>
      <c r="M250" s="448"/>
      <c r="N250" s="448"/>
      <c r="O250" s="448"/>
      <c r="P250" s="448"/>
      <c r="Q250" s="448"/>
      <c r="R250" s="448"/>
      <c r="S250" s="448"/>
      <c r="T250" s="448"/>
      <c r="U250" s="449"/>
      <c r="V250" s="426"/>
      <c r="W250" s="434" t="s">
        <v>378</v>
      </c>
      <c r="X250" s="434"/>
      <c r="Y250" s="406" t="s">
        <v>70</v>
      </c>
    </row>
    <row r="251" spans="1:25" s="174" customFormat="1" ht="22.5" customHeight="1" thickTop="1" thickBot="1" x14ac:dyDescent="0.3">
      <c r="A251" s="430" t="s">
        <v>67</v>
      </c>
      <c r="B251" s="425" t="s">
        <v>85</v>
      </c>
      <c r="C251" s="425" t="s">
        <v>89</v>
      </c>
      <c r="D251" s="425" t="s">
        <v>85</v>
      </c>
      <c r="E251" s="425" t="s">
        <v>85</v>
      </c>
      <c r="F251" s="425"/>
      <c r="G251" s="425"/>
      <c r="H251" s="426"/>
      <c r="I251" s="426"/>
      <c r="J251" s="427" t="s">
        <v>379</v>
      </c>
      <c r="K251" s="446"/>
      <c r="L251" s="446"/>
      <c r="M251" s="446"/>
      <c r="N251" s="446"/>
      <c r="O251" s="446"/>
      <c r="P251" s="446"/>
      <c r="Q251" s="446"/>
      <c r="R251" s="446"/>
      <c r="S251" s="446"/>
      <c r="T251" s="446"/>
      <c r="U251" s="447"/>
      <c r="V251" s="425"/>
      <c r="W251" s="430" t="s">
        <v>380</v>
      </c>
      <c r="X251" s="430"/>
      <c r="Y251" s="406" t="s">
        <v>70</v>
      </c>
    </row>
    <row r="252" spans="1:25" s="174" customFormat="1" ht="22.5" customHeight="1" thickTop="1" thickBot="1" x14ac:dyDescent="0.3">
      <c r="A252" s="430" t="s">
        <v>67</v>
      </c>
      <c r="B252" s="425" t="s">
        <v>85</v>
      </c>
      <c r="C252" s="425" t="s">
        <v>89</v>
      </c>
      <c r="D252" s="425" t="s">
        <v>85</v>
      </c>
      <c r="E252" s="425" t="s">
        <v>87</v>
      </c>
      <c r="F252" s="425"/>
      <c r="G252" s="425"/>
      <c r="H252" s="426"/>
      <c r="I252" s="426"/>
      <c r="J252" s="427" t="s">
        <v>381</v>
      </c>
      <c r="K252" s="446"/>
      <c r="L252" s="446"/>
      <c r="M252" s="446"/>
      <c r="N252" s="446"/>
      <c r="O252" s="446"/>
      <c r="P252" s="446"/>
      <c r="Q252" s="446"/>
      <c r="R252" s="446"/>
      <c r="S252" s="446"/>
      <c r="T252" s="446"/>
      <c r="U252" s="447"/>
      <c r="V252" s="425"/>
      <c r="W252" s="430" t="s">
        <v>382</v>
      </c>
      <c r="X252" s="430"/>
      <c r="Y252" s="406" t="s">
        <v>70</v>
      </c>
    </row>
    <row r="253" spans="1:25" s="174" customFormat="1" ht="22.5" customHeight="1" thickTop="1" thickBot="1" x14ac:dyDescent="0.3">
      <c r="A253" s="419" t="s">
        <v>67</v>
      </c>
      <c r="B253" s="420" t="s">
        <v>85</v>
      </c>
      <c r="C253" s="420" t="s">
        <v>89</v>
      </c>
      <c r="D253" s="420" t="s">
        <v>87</v>
      </c>
      <c r="E253" s="420"/>
      <c r="F253" s="420"/>
      <c r="G253" s="420"/>
      <c r="H253" s="421"/>
      <c r="I253" s="421"/>
      <c r="J253" s="422" t="s">
        <v>341</v>
      </c>
      <c r="K253" s="450"/>
      <c r="L253" s="450"/>
      <c r="M253" s="450"/>
      <c r="N253" s="450"/>
      <c r="O253" s="450"/>
      <c r="P253" s="450"/>
      <c r="Q253" s="450"/>
      <c r="R253" s="450"/>
      <c r="S253" s="450"/>
      <c r="T253" s="450"/>
      <c r="U253" s="451"/>
      <c r="V253" s="420"/>
      <c r="W253" s="419" t="s">
        <v>383</v>
      </c>
      <c r="X253" s="419" t="s">
        <v>343</v>
      </c>
      <c r="Y253" s="406" t="s">
        <v>70</v>
      </c>
    </row>
    <row r="254" spans="1:25" s="174" customFormat="1" ht="22.5" customHeight="1" thickTop="1" thickBot="1" x14ac:dyDescent="0.3">
      <c r="A254" s="413" t="s">
        <v>67</v>
      </c>
      <c r="B254" s="414" t="s">
        <v>85</v>
      </c>
      <c r="C254" s="414" t="s">
        <v>91</v>
      </c>
      <c r="D254" s="414"/>
      <c r="E254" s="414"/>
      <c r="F254" s="414"/>
      <c r="G254" s="414"/>
      <c r="H254" s="415"/>
      <c r="I254" s="415"/>
      <c r="J254" s="452" t="s">
        <v>384</v>
      </c>
      <c r="K254" s="453"/>
      <c r="L254" s="453"/>
      <c r="M254" s="453"/>
      <c r="N254" s="453"/>
      <c r="O254" s="453"/>
      <c r="P254" s="453"/>
      <c r="Q254" s="453"/>
      <c r="R254" s="453"/>
      <c r="S254" s="453"/>
      <c r="T254" s="453"/>
      <c r="U254" s="454"/>
      <c r="V254" s="414"/>
      <c r="W254" s="414" t="s">
        <v>385</v>
      </c>
      <c r="X254" s="414"/>
      <c r="Y254" s="406" t="s">
        <v>70</v>
      </c>
    </row>
    <row r="255" spans="1:25" s="174" customFormat="1" ht="22.5" customHeight="1" thickTop="1" thickBot="1" x14ac:dyDescent="0.3">
      <c r="A255" s="419" t="s">
        <v>67</v>
      </c>
      <c r="B255" s="420" t="s">
        <v>85</v>
      </c>
      <c r="C255" s="420" t="s">
        <v>91</v>
      </c>
      <c r="D255" s="420" t="s">
        <v>71</v>
      </c>
      <c r="E255" s="420"/>
      <c r="F255" s="420"/>
      <c r="G255" s="420"/>
      <c r="H255" s="421"/>
      <c r="I255" s="421"/>
      <c r="J255" s="422" t="s">
        <v>386</v>
      </c>
      <c r="K255" s="450"/>
      <c r="L255" s="450"/>
      <c r="M255" s="450"/>
      <c r="N255" s="450"/>
      <c r="O255" s="450"/>
      <c r="P255" s="450"/>
      <c r="Q255" s="450"/>
      <c r="R255" s="450"/>
      <c r="S255" s="450"/>
      <c r="T255" s="450"/>
      <c r="U255" s="451"/>
      <c r="V255" s="420"/>
      <c r="W255" s="419"/>
      <c r="X255" s="419"/>
      <c r="Y255" s="406"/>
    </row>
    <row r="256" spans="1:25" ht="22.5" customHeight="1" thickTop="1" thickBot="1" x14ac:dyDescent="0.3">
      <c r="A256" s="434" t="s">
        <v>67</v>
      </c>
      <c r="B256" s="426" t="s">
        <v>85</v>
      </c>
      <c r="C256" s="426" t="s">
        <v>91</v>
      </c>
      <c r="D256" s="426" t="s">
        <v>71</v>
      </c>
      <c r="E256" s="425" t="s">
        <v>71</v>
      </c>
      <c r="F256" s="426"/>
      <c r="G256" s="426"/>
      <c r="H256" s="426"/>
      <c r="I256" s="426"/>
      <c r="J256" s="431" t="s">
        <v>387</v>
      </c>
      <c r="K256" s="455"/>
      <c r="L256" s="455"/>
      <c r="M256" s="455"/>
      <c r="N256" s="455"/>
      <c r="O256" s="455"/>
      <c r="P256" s="455"/>
      <c r="Q256" s="455"/>
      <c r="R256" s="455"/>
      <c r="S256" s="455"/>
      <c r="T256" s="455"/>
      <c r="U256" s="456"/>
      <c r="V256" s="426"/>
      <c r="W256" s="434"/>
      <c r="X256" s="434"/>
      <c r="Y256" s="439"/>
    </row>
    <row r="257" spans="1:25" ht="22.5" customHeight="1" thickTop="1" thickBot="1" x14ac:dyDescent="0.3">
      <c r="A257" s="434" t="s">
        <v>67</v>
      </c>
      <c r="B257" s="426" t="s">
        <v>85</v>
      </c>
      <c r="C257" s="426" t="s">
        <v>91</v>
      </c>
      <c r="D257" s="426" t="s">
        <v>71</v>
      </c>
      <c r="E257" s="425" t="s">
        <v>85</v>
      </c>
      <c r="F257" s="426"/>
      <c r="G257" s="426"/>
      <c r="H257" s="426"/>
      <c r="I257" s="426"/>
      <c r="J257" s="431" t="s">
        <v>388</v>
      </c>
      <c r="K257" s="455"/>
      <c r="L257" s="455"/>
      <c r="M257" s="455"/>
      <c r="N257" s="455"/>
      <c r="O257" s="455"/>
      <c r="P257" s="455"/>
      <c r="Q257" s="455"/>
      <c r="R257" s="455"/>
      <c r="S257" s="455"/>
      <c r="T257" s="455"/>
      <c r="U257" s="456"/>
      <c r="V257" s="426"/>
      <c r="W257" s="434"/>
      <c r="X257" s="434"/>
      <c r="Y257" s="439"/>
    </row>
    <row r="258" spans="1:25" ht="22.5" customHeight="1" thickTop="1" thickBot="1" x14ac:dyDescent="0.3">
      <c r="A258" s="434" t="s">
        <v>67</v>
      </c>
      <c r="B258" s="426" t="s">
        <v>85</v>
      </c>
      <c r="C258" s="426" t="s">
        <v>91</v>
      </c>
      <c r="D258" s="426" t="s">
        <v>71</v>
      </c>
      <c r="E258" s="425" t="s">
        <v>87</v>
      </c>
      <c r="F258" s="426"/>
      <c r="G258" s="426"/>
      <c r="H258" s="426"/>
      <c r="I258" s="426"/>
      <c r="J258" s="431" t="s">
        <v>389</v>
      </c>
      <c r="K258" s="455"/>
      <c r="L258" s="455"/>
      <c r="M258" s="455"/>
      <c r="N258" s="455"/>
      <c r="O258" s="455"/>
      <c r="P258" s="455"/>
      <c r="Q258" s="455"/>
      <c r="R258" s="455"/>
      <c r="S258" s="455"/>
      <c r="T258" s="455"/>
      <c r="U258" s="456"/>
      <c r="V258" s="426"/>
      <c r="W258" s="434"/>
      <c r="X258" s="434"/>
      <c r="Y258" s="439"/>
    </row>
    <row r="259" spans="1:25" s="174" customFormat="1" ht="22.5" customHeight="1" thickTop="1" thickBot="1" x14ac:dyDescent="0.3">
      <c r="A259" s="419" t="s">
        <v>67</v>
      </c>
      <c r="B259" s="420" t="s">
        <v>85</v>
      </c>
      <c r="C259" s="420" t="s">
        <v>91</v>
      </c>
      <c r="D259" s="420" t="s">
        <v>85</v>
      </c>
      <c r="E259" s="420"/>
      <c r="F259" s="420"/>
      <c r="G259" s="420"/>
      <c r="H259" s="421"/>
      <c r="I259" s="421"/>
      <c r="J259" s="422" t="s">
        <v>390</v>
      </c>
      <c r="K259" s="450"/>
      <c r="L259" s="450"/>
      <c r="M259" s="450"/>
      <c r="N259" s="450"/>
      <c r="O259" s="450"/>
      <c r="P259" s="450"/>
      <c r="Q259" s="450"/>
      <c r="R259" s="450"/>
      <c r="S259" s="450"/>
      <c r="T259" s="450"/>
      <c r="U259" s="451"/>
      <c r="V259" s="420"/>
      <c r="W259" s="419"/>
      <c r="X259" s="419"/>
      <c r="Y259" s="406" t="s">
        <v>70</v>
      </c>
    </row>
    <row r="260" spans="1:25" s="174" customFormat="1" ht="22.5" customHeight="1" thickTop="1" thickBot="1" x14ac:dyDescent="0.3">
      <c r="A260" s="430" t="s">
        <v>67</v>
      </c>
      <c r="B260" s="425" t="s">
        <v>85</v>
      </c>
      <c r="C260" s="425" t="s">
        <v>91</v>
      </c>
      <c r="D260" s="425" t="s">
        <v>85</v>
      </c>
      <c r="E260" s="425" t="s">
        <v>71</v>
      </c>
      <c r="F260" s="425"/>
      <c r="G260" s="425"/>
      <c r="H260" s="426"/>
      <c r="I260" s="426"/>
      <c r="J260" s="427" t="s">
        <v>391</v>
      </c>
      <c r="K260" s="446"/>
      <c r="L260" s="446"/>
      <c r="M260" s="446"/>
      <c r="N260" s="446"/>
      <c r="O260" s="446"/>
      <c r="P260" s="446"/>
      <c r="Q260" s="446"/>
      <c r="R260" s="446"/>
      <c r="S260" s="446"/>
      <c r="T260" s="446"/>
      <c r="U260" s="447"/>
      <c r="V260" s="425"/>
      <c r="W260" s="430"/>
      <c r="X260" s="430"/>
      <c r="Y260" s="406" t="s">
        <v>70</v>
      </c>
    </row>
    <row r="261" spans="1:25" s="174" customFormat="1" ht="22.5" customHeight="1" thickTop="1" thickBot="1" x14ac:dyDescent="0.3">
      <c r="A261" s="419" t="s">
        <v>67</v>
      </c>
      <c r="B261" s="420" t="s">
        <v>85</v>
      </c>
      <c r="C261" s="420" t="s">
        <v>91</v>
      </c>
      <c r="D261" s="420" t="s">
        <v>87</v>
      </c>
      <c r="E261" s="420"/>
      <c r="F261" s="420"/>
      <c r="G261" s="420"/>
      <c r="H261" s="421"/>
      <c r="I261" s="421"/>
      <c r="J261" s="422" t="s">
        <v>392</v>
      </c>
      <c r="K261" s="450"/>
      <c r="L261" s="450"/>
      <c r="M261" s="450"/>
      <c r="N261" s="450"/>
      <c r="O261" s="450"/>
      <c r="P261" s="450"/>
      <c r="Q261" s="450"/>
      <c r="R261" s="450"/>
      <c r="S261" s="450"/>
      <c r="T261" s="450"/>
      <c r="U261" s="451"/>
      <c r="V261" s="420"/>
      <c r="W261" s="419"/>
      <c r="X261" s="419"/>
      <c r="Y261" s="406" t="s">
        <v>70</v>
      </c>
    </row>
    <row r="262" spans="1:25" s="174" customFormat="1" ht="22.5" customHeight="1" thickTop="1" thickBot="1" x14ac:dyDescent="0.3">
      <c r="A262" s="419" t="s">
        <v>67</v>
      </c>
      <c r="B262" s="420" t="s">
        <v>85</v>
      </c>
      <c r="C262" s="420" t="s">
        <v>91</v>
      </c>
      <c r="D262" s="420" t="s">
        <v>89</v>
      </c>
      <c r="E262" s="420"/>
      <c r="F262" s="420"/>
      <c r="G262" s="420"/>
      <c r="H262" s="421"/>
      <c r="I262" s="421"/>
      <c r="J262" s="422" t="s">
        <v>393</v>
      </c>
      <c r="K262" s="450"/>
      <c r="L262" s="450"/>
      <c r="M262" s="450"/>
      <c r="N262" s="450"/>
      <c r="O262" s="450"/>
      <c r="P262" s="450"/>
      <c r="Q262" s="450"/>
      <c r="R262" s="450"/>
      <c r="S262" s="450"/>
      <c r="T262" s="450"/>
      <c r="U262" s="451"/>
      <c r="V262" s="420"/>
      <c r="W262" s="419"/>
      <c r="X262" s="419"/>
      <c r="Y262" s="406" t="s">
        <v>70</v>
      </c>
    </row>
    <row r="263" spans="1:25" s="174" customFormat="1" ht="22.5" customHeight="1" thickTop="1" thickBot="1" x14ac:dyDescent="0.3">
      <c r="A263" s="419" t="s">
        <v>67</v>
      </c>
      <c r="B263" s="420" t="s">
        <v>85</v>
      </c>
      <c r="C263" s="420" t="s">
        <v>91</v>
      </c>
      <c r="D263" s="420" t="s">
        <v>91</v>
      </c>
      <c r="E263" s="420"/>
      <c r="F263" s="420"/>
      <c r="G263" s="420"/>
      <c r="H263" s="421"/>
      <c r="I263" s="421"/>
      <c r="J263" s="422" t="s">
        <v>394</v>
      </c>
      <c r="K263" s="450"/>
      <c r="L263" s="450"/>
      <c r="M263" s="450"/>
      <c r="N263" s="450"/>
      <c r="O263" s="450"/>
      <c r="P263" s="450"/>
      <c r="Q263" s="450"/>
      <c r="R263" s="450"/>
      <c r="S263" s="450"/>
      <c r="T263" s="450"/>
      <c r="U263" s="451"/>
      <c r="V263" s="420"/>
      <c r="W263" s="419"/>
      <c r="X263" s="419"/>
      <c r="Y263" s="406" t="s">
        <v>70</v>
      </c>
    </row>
    <row r="264" spans="1:25" s="174" customFormat="1" ht="22.5" customHeight="1" thickTop="1" thickBot="1" x14ac:dyDescent="0.3">
      <c r="A264" s="430" t="s">
        <v>67</v>
      </c>
      <c r="B264" s="425" t="s">
        <v>85</v>
      </c>
      <c r="C264" s="425" t="s">
        <v>91</v>
      </c>
      <c r="D264" s="425" t="s">
        <v>91</v>
      </c>
      <c r="E264" s="425" t="s">
        <v>71</v>
      </c>
      <c r="F264" s="425"/>
      <c r="G264" s="425"/>
      <c r="H264" s="426"/>
      <c r="I264" s="426"/>
      <c r="J264" s="427" t="s">
        <v>395</v>
      </c>
      <c r="K264" s="446"/>
      <c r="L264" s="446"/>
      <c r="M264" s="446"/>
      <c r="N264" s="446"/>
      <c r="O264" s="446"/>
      <c r="P264" s="446"/>
      <c r="Q264" s="446"/>
      <c r="R264" s="446"/>
      <c r="S264" s="446"/>
      <c r="T264" s="446"/>
      <c r="U264" s="447"/>
      <c r="V264" s="425"/>
      <c r="W264" s="430"/>
      <c r="X264" s="430"/>
      <c r="Y264" s="406" t="s">
        <v>70</v>
      </c>
    </row>
    <row r="265" spans="1:25" s="174" customFormat="1" ht="22.5" customHeight="1" thickTop="1" thickBot="1" x14ac:dyDescent="0.3">
      <c r="A265" s="430" t="s">
        <v>67</v>
      </c>
      <c r="B265" s="425" t="s">
        <v>85</v>
      </c>
      <c r="C265" s="425" t="s">
        <v>91</v>
      </c>
      <c r="D265" s="425" t="s">
        <v>91</v>
      </c>
      <c r="E265" s="425" t="s">
        <v>85</v>
      </c>
      <c r="F265" s="425"/>
      <c r="G265" s="425"/>
      <c r="H265" s="426"/>
      <c r="I265" s="426"/>
      <c r="J265" s="427" t="s">
        <v>396</v>
      </c>
      <c r="K265" s="446"/>
      <c r="L265" s="446"/>
      <c r="M265" s="446"/>
      <c r="N265" s="446"/>
      <c r="O265" s="446"/>
      <c r="P265" s="446"/>
      <c r="Q265" s="446"/>
      <c r="R265" s="446"/>
      <c r="S265" s="446"/>
      <c r="T265" s="446"/>
      <c r="U265" s="447"/>
      <c r="V265" s="430"/>
      <c r="W265" s="430"/>
      <c r="X265" s="430"/>
      <c r="Y265" s="406" t="s">
        <v>70</v>
      </c>
    </row>
    <row r="266" spans="1:25" s="174" customFormat="1" ht="22.5" customHeight="1" thickTop="1" thickBot="1" x14ac:dyDescent="0.3">
      <c r="A266" s="419" t="s">
        <v>67</v>
      </c>
      <c r="B266" s="420" t="s">
        <v>85</v>
      </c>
      <c r="C266" s="420" t="s">
        <v>91</v>
      </c>
      <c r="D266" s="420" t="s">
        <v>93</v>
      </c>
      <c r="E266" s="420"/>
      <c r="F266" s="420"/>
      <c r="G266" s="420"/>
      <c r="H266" s="421"/>
      <c r="I266" s="421"/>
      <c r="J266" s="422" t="s">
        <v>397</v>
      </c>
      <c r="K266" s="450"/>
      <c r="L266" s="450"/>
      <c r="M266" s="450"/>
      <c r="N266" s="450"/>
      <c r="O266" s="450"/>
      <c r="P266" s="450"/>
      <c r="Q266" s="450"/>
      <c r="R266" s="450"/>
      <c r="S266" s="450"/>
      <c r="T266" s="450"/>
      <c r="U266" s="451"/>
      <c r="V266" s="420"/>
      <c r="W266" s="419"/>
      <c r="X266" s="419"/>
      <c r="Y266" s="406" t="s">
        <v>70</v>
      </c>
    </row>
    <row r="267" spans="1:25" s="174" customFormat="1" ht="22.5" customHeight="1" thickTop="1" thickBot="1" x14ac:dyDescent="0.3">
      <c r="A267" s="419" t="s">
        <v>67</v>
      </c>
      <c r="B267" s="420" t="s">
        <v>85</v>
      </c>
      <c r="C267" s="420" t="s">
        <v>91</v>
      </c>
      <c r="D267" s="420" t="s">
        <v>95</v>
      </c>
      <c r="E267" s="420"/>
      <c r="F267" s="420"/>
      <c r="G267" s="420"/>
      <c r="H267" s="421"/>
      <c r="I267" s="421"/>
      <c r="J267" s="422" t="s">
        <v>398</v>
      </c>
      <c r="K267" s="450"/>
      <c r="L267" s="450"/>
      <c r="M267" s="450"/>
      <c r="N267" s="450"/>
      <c r="O267" s="450"/>
      <c r="P267" s="450"/>
      <c r="Q267" s="450"/>
      <c r="R267" s="450"/>
      <c r="S267" s="450"/>
      <c r="T267" s="450"/>
      <c r="U267" s="451"/>
      <c r="V267" s="420"/>
      <c r="W267" s="419"/>
      <c r="X267" s="419"/>
      <c r="Y267" s="406" t="s">
        <v>70</v>
      </c>
    </row>
    <row r="268" spans="1:25" s="174" customFormat="1" ht="22.5" customHeight="1" thickTop="1" thickBot="1" x14ac:dyDescent="0.3">
      <c r="A268" s="419" t="s">
        <v>67</v>
      </c>
      <c r="B268" s="420" t="s">
        <v>85</v>
      </c>
      <c r="C268" s="420" t="s">
        <v>91</v>
      </c>
      <c r="D268" s="420" t="s">
        <v>97</v>
      </c>
      <c r="E268" s="420"/>
      <c r="F268" s="420"/>
      <c r="G268" s="420"/>
      <c r="H268" s="421"/>
      <c r="I268" s="421"/>
      <c r="J268" s="422" t="s">
        <v>399</v>
      </c>
      <c r="K268" s="450"/>
      <c r="L268" s="450"/>
      <c r="M268" s="450"/>
      <c r="N268" s="450"/>
      <c r="O268" s="450"/>
      <c r="P268" s="450"/>
      <c r="Q268" s="450"/>
      <c r="R268" s="450"/>
      <c r="S268" s="450"/>
      <c r="T268" s="450"/>
      <c r="U268" s="451"/>
      <c r="V268" s="420"/>
      <c r="W268" s="419"/>
      <c r="X268" s="419"/>
      <c r="Y268" s="406" t="s">
        <v>70</v>
      </c>
    </row>
    <row r="269" spans="1:25" s="174" customFormat="1" ht="22.5" customHeight="1" thickTop="1" thickBot="1" x14ac:dyDescent="0.3">
      <c r="A269" s="419" t="s">
        <v>67</v>
      </c>
      <c r="B269" s="420" t="s">
        <v>85</v>
      </c>
      <c r="C269" s="420" t="s">
        <v>91</v>
      </c>
      <c r="D269" s="420" t="s">
        <v>400</v>
      </c>
      <c r="E269" s="420"/>
      <c r="F269" s="420"/>
      <c r="G269" s="420"/>
      <c r="H269" s="421"/>
      <c r="I269" s="421"/>
      <c r="J269" s="422" t="s">
        <v>401</v>
      </c>
      <c r="K269" s="450"/>
      <c r="L269" s="450"/>
      <c r="M269" s="450"/>
      <c r="N269" s="450"/>
      <c r="O269" s="450"/>
      <c r="P269" s="450"/>
      <c r="Q269" s="450"/>
      <c r="R269" s="450"/>
      <c r="S269" s="450"/>
      <c r="T269" s="450"/>
      <c r="U269" s="451"/>
      <c r="V269" s="420"/>
      <c r="W269" s="419"/>
      <c r="X269" s="419"/>
      <c r="Y269" s="406" t="s">
        <v>70</v>
      </c>
    </row>
    <row r="270" spans="1:25" s="174" customFormat="1" ht="22.5" customHeight="1" thickTop="1" thickBot="1" x14ac:dyDescent="0.3">
      <c r="A270" s="419" t="s">
        <v>67</v>
      </c>
      <c r="B270" s="420" t="s">
        <v>85</v>
      </c>
      <c r="C270" s="420" t="s">
        <v>91</v>
      </c>
      <c r="D270" s="420" t="s">
        <v>402</v>
      </c>
      <c r="E270" s="420"/>
      <c r="F270" s="420"/>
      <c r="G270" s="420"/>
      <c r="H270" s="421"/>
      <c r="I270" s="421"/>
      <c r="J270" s="422" t="s">
        <v>403</v>
      </c>
      <c r="K270" s="450"/>
      <c r="L270" s="450"/>
      <c r="M270" s="450"/>
      <c r="N270" s="450"/>
      <c r="O270" s="450"/>
      <c r="P270" s="450"/>
      <c r="Q270" s="450"/>
      <c r="R270" s="450"/>
      <c r="S270" s="450"/>
      <c r="T270" s="450"/>
      <c r="U270" s="451"/>
      <c r="V270" s="420"/>
      <c r="W270" s="419"/>
      <c r="X270" s="419"/>
      <c r="Y270" s="406" t="s">
        <v>70</v>
      </c>
    </row>
    <row r="271" spans="1:25" s="174" customFormat="1" ht="22.5" customHeight="1" thickTop="1" thickBot="1" x14ac:dyDescent="0.3">
      <c r="A271" s="419" t="s">
        <v>67</v>
      </c>
      <c r="B271" s="420" t="s">
        <v>85</v>
      </c>
      <c r="C271" s="420" t="s">
        <v>91</v>
      </c>
      <c r="D271" s="420" t="s">
        <v>404</v>
      </c>
      <c r="E271" s="420"/>
      <c r="F271" s="420"/>
      <c r="G271" s="420"/>
      <c r="H271" s="421"/>
      <c r="I271" s="421"/>
      <c r="J271" s="422" t="s">
        <v>405</v>
      </c>
      <c r="K271" s="450"/>
      <c r="L271" s="450"/>
      <c r="M271" s="450"/>
      <c r="N271" s="450"/>
      <c r="O271" s="450"/>
      <c r="P271" s="450"/>
      <c r="Q271" s="450"/>
      <c r="R271" s="450"/>
      <c r="S271" s="450"/>
      <c r="T271" s="450"/>
      <c r="U271" s="451"/>
      <c r="V271" s="420"/>
      <c r="W271" s="419" t="s">
        <v>406</v>
      </c>
      <c r="X271" s="419"/>
      <c r="Y271" s="406" t="s">
        <v>70</v>
      </c>
    </row>
    <row r="272" spans="1:25" s="174" customFormat="1" ht="22.5" customHeight="1" thickTop="1" thickBot="1" x14ac:dyDescent="0.3">
      <c r="A272" s="419" t="s">
        <v>67</v>
      </c>
      <c r="B272" s="420" t="s">
        <v>85</v>
      </c>
      <c r="C272" s="420" t="s">
        <v>91</v>
      </c>
      <c r="D272" s="420" t="s">
        <v>407</v>
      </c>
      <c r="E272" s="420"/>
      <c r="F272" s="420"/>
      <c r="G272" s="420"/>
      <c r="H272" s="421"/>
      <c r="I272" s="421"/>
      <c r="J272" s="422" t="s">
        <v>408</v>
      </c>
      <c r="K272" s="450"/>
      <c r="L272" s="450"/>
      <c r="M272" s="450"/>
      <c r="N272" s="450"/>
      <c r="O272" s="450"/>
      <c r="P272" s="450"/>
      <c r="Q272" s="450"/>
      <c r="R272" s="450"/>
      <c r="S272" s="450"/>
      <c r="T272" s="450"/>
      <c r="U272" s="451"/>
      <c r="V272" s="420"/>
      <c r="W272" s="419" t="s">
        <v>409</v>
      </c>
      <c r="X272" s="419"/>
      <c r="Y272" s="406" t="s">
        <v>70</v>
      </c>
    </row>
    <row r="273" spans="1:25" s="174" customFormat="1" ht="22.5" customHeight="1" thickTop="1" thickBot="1" x14ac:dyDescent="0.3">
      <c r="A273" s="430" t="s">
        <v>67</v>
      </c>
      <c r="B273" s="425" t="s">
        <v>85</v>
      </c>
      <c r="C273" s="425" t="s">
        <v>91</v>
      </c>
      <c r="D273" s="425" t="s">
        <v>407</v>
      </c>
      <c r="E273" s="425" t="s">
        <v>71</v>
      </c>
      <c r="F273" s="425"/>
      <c r="G273" s="425"/>
      <c r="H273" s="426"/>
      <c r="I273" s="426"/>
      <c r="J273" s="427" t="s">
        <v>410</v>
      </c>
      <c r="K273" s="446"/>
      <c r="L273" s="446"/>
      <c r="M273" s="446"/>
      <c r="N273" s="446"/>
      <c r="O273" s="446"/>
      <c r="P273" s="446"/>
      <c r="Q273" s="446"/>
      <c r="R273" s="446"/>
      <c r="S273" s="446"/>
      <c r="T273" s="446"/>
      <c r="U273" s="447"/>
      <c r="V273" s="430"/>
      <c r="W273" s="430" t="s">
        <v>411</v>
      </c>
      <c r="X273" s="430"/>
      <c r="Y273" s="406" t="s">
        <v>70</v>
      </c>
    </row>
    <row r="274" spans="1:25" s="174" customFormat="1" ht="22.5" customHeight="1" thickTop="1" thickBot="1" x14ac:dyDescent="0.3">
      <c r="A274" s="430" t="s">
        <v>67</v>
      </c>
      <c r="B274" s="425" t="s">
        <v>85</v>
      </c>
      <c r="C274" s="425" t="s">
        <v>91</v>
      </c>
      <c r="D274" s="425" t="s">
        <v>407</v>
      </c>
      <c r="E274" s="425" t="s">
        <v>85</v>
      </c>
      <c r="F274" s="425"/>
      <c r="G274" s="425"/>
      <c r="H274" s="426"/>
      <c r="I274" s="426"/>
      <c r="J274" s="427" t="s">
        <v>412</v>
      </c>
      <c r="K274" s="446"/>
      <c r="L274" s="446"/>
      <c r="M274" s="446"/>
      <c r="N274" s="446"/>
      <c r="O274" s="446"/>
      <c r="P274" s="446"/>
      <c r="Q274" s="446"/>
      <c r="R274" s="446"/>
      <c r="S274" s="446"/>
      <c r="T274" s="446"/>
      <c r="U274" s="447"/>
      <c r="V274" s="425"/>
      <c r="W274" s="430" t="s">
        <v>413</v>
      </c>
      <c r="X274" s="430"/>
      <c r="Y274" s="406" t="s">
        <v>70</v>
      </c>
    </row>
    <row r="275" spans="1:25" s="174" customFormat="1" ht="22.5" customHeight="1" thickTop="1" thickBot="1" x14ac:dyDescent="0.3">
      <c r="A275" s="430" t="s">
        <v>67</v>
      </c>
      <c r="B275" s="425" t="s">
        <v>85</v>
      </c>
      <c r="C275" s="425" t="s">
        <v>91</v>
      </c>
      <c r="D275" s="425" t="s">
        <v>407</v>
      </c>
      <c r="E275" s="425" t="s">
        <v>87</v>
      </c>
      <c r="F275" s="425"/>
      <c r="G275" s="425"/>
      <c r="H275" s="426"/>
      <c r="I275" s="426"/>
      <c r="J275" s="427" t="s">
        <v>414</v>
      </c>
      <c r="K275" s="446"/>
      <c r="L275" s="446"/>
      <c r="M275" s="446"/>
      <c r="N275" s="446"/>
      <c r="O275" s="446"/>
      <c r="P275" s="446"/>
      <c r="Q275" s="446"/>
      <c r="R275" s="446"/>
      <c r="S275" s="446"/>
      <c r="T275" s="446"/>
      <c r="U275" s="447"/>
      <c r="V275" s="430"/>
      <c r="W275" s="430" t="s">
        <v>415</v>
      </c>
      <c r="X275" s="430"/>
      <c r="Y275" s="406" t="s">
        <v>70</v>
      </c>
    </row>
    <row r="276" spans="1:25" s="174" customFormat="1" ht="22.5" customHeight="1" thickTop="1" thickBot="1" x14ac:dyDescent="0.3">
      <c r="A276" s="419" t="s">
        <v>67</v>
      </c>
      <c r="B276" s="420" t="s">
        <v>85</v>
      </c>
      <c r="C276" s="420" t="s">
        <v>91</v>
      </c>
      <c r="D276" s="420" t="s">
        <v>416</v>
      </c>
      <c r="E276" s="420"/>
      <c r="F276" s="420"/>
      <c r="G276" s="420"/>
      <c r="H276" s="421"/>
      <c r="I276" s="421"/>
      <c r="J276" s="422" t="s">
        <v>417</v>
      </c>
      <c r="K276" s="450"/>
      <c r="L276" s="450"/>
      <c r="M276" s="450"/>
      <c r="N276" s="450"/>
      <c r="O276" s="450"/>
      <c r="P276" s="450"/>
      <c r="Q276" s="450"/>
      <c r="R276" s="450"/>
      <c r="S276" s="450"/>
      <c r="T276" s="450"/>
      <c r="U276" s="451"/>
      <c r="V276" s="420"/>
      <c r="W276" s="420" t="s">
        <v>418</v>
      </c>
      <c r="X276" s="420"/>
      <c r="Y276" s="406" t="s">
        <v>70</v>
      </c>
    </row>
    <row r="277" spans="1:25" s="174" customFormat="1" ht="22.5" customHeight="1" thickTop="1" thickBot="1" x14ac:dyDescent="0.3">
      <c r="A277" s="430" t="s">
        <v>67</v>
      </c>
      <c r="B277" s="425" t="s">
        <v>85</v>
      </c>
      <c r="C277" s="425" t="s">
        <v>91</v>
      </c>
      <c r="D277" s="425" t="s">
        <v>416</v>
      </c>
      <c r="E277" s="425" t="s">
        <v>71</v>
      </c>
      <c r="F277" s="425"/>
      <c r="G277" s="425"/>
      <c r="H277" s="426"/>
      <c r="I277" s="426"/>
      <c r="J277" s="427" t="s">
        <v>419</v>
      </c>
      <c r="K277" s="457"/>
      <c r="L277" s="457"/>
      <c r="M277" s="457"/>
      <c r="N277" s="457"/>
      <c r="O277" s="457"/>
      <c r="P277" s="457"/>
      <c r="Q277" s="457"/>
      <c r="R277" s="457"/>
      <c r="S277" s="457"/>
      <c r="T277" s="457"/>
      <c r="U277" s="458"/>
      <c r="V277" s="425"/>
      <c r="W277" s="425" t="s">
        <v>420</v>
      </c>
      <c r="X277" s="425"/>
      <c r="Y277" s="406" t="s">
        <v>70</v>
      </c>
    </row>
    <row r="278" spans="1:25" ht="22.5" customHeight="1" thickTop="1" thickBot="1" x14ac:dyDescent="0.3">
      <c r="A278" s="434" t="s">
        <v>67</v>
      </c>
      <c r="B278" s="426" t="s">
        <v>85</v>
      </c>
      <c r="C278" s="426" t="s">
        <v>91</v>
      </c>
      <c r="D278" s="426" t="s">
        <v>416</v>
      </c>
      <c r="E278" s="426" t="s">
        <v>71</v>
      </c>
      <c r="F278" s="425" t="s">
        <v>71</v>
      </c>
      <c r="G278" s="426"/>
      <c r="H278" s="426"/>
      <c r="I278" s="426"/>
      <c r="J278" s="431" t="s">
        <v>421</v>
      </c>
      <c r="K278" s="457"/>
      <c r="L278" s="457"/>
      <c r="M278" s="457"/>
      <c r="N278" s="457"/>
      <c r="O278" s="457"/>
      <c r="P278" s="457"/>
      <c r="Q278" s="457"/>
      <c r="R278" s="457"/>
      <c r="S278" s="457"/>
      <c r="T278" s="457"/>
      <c r="U278" s="458"/>
      <c r="V278" s="425"/>
      <c r="W278" s="425"/>
      <c r="X278" s="425"/>
      <c r="Y278" s="406"/>
    </row>
    <row r="279" spans="1:25" ht="22.5" customHeight="1" thickTop="1" thickBot="1" x14ac:dyDescent="0.3">
      <c r="A279" s="434" t="s">
        <v>67</v>
      </c>
      <c r="B279" s="426" t="s">
        <v>85</v>
      </c>
      <c r="C279" s="426" t="s">
        <v>91</v>
      </c>
      <c r="D279" s="426" t="s">
        <v>416</v>
      </c>
      <c r="E279" s="426" t="s">
        <v>71</v>
      </c>
      <c r="F279" s="425" t="s">
        <v>85</v>
      </c>
      <c r="G279" s="426"/>
      <c r="H279" s="426"/>
      <c r="I279" s="426"/>
      <c r="J279" s="431" t="s">
        <v>422</v>
      </c>
      <c r="K279" s="457"/>
      <c r="L279" s="457"/>
      <c r="M279" s="457"/>
      <c r="N279" s="457"/>
      <c r="O279" s="457"/>
      <c r="P279" s="457"/>
      <c r="Q279" s="457"/>
      <c r="R279" s="457"/>
      <c r="S279" s="457"/>
      <c r="T279" s="457"/>
      <c r="U279" s="458"/>
      <c r="V279" s="425"/>
      <c r="W279" s="425"/>
      <c r="X279" s="425"/>
      <c r="Y279" s="406"/>
    </row>
    <row r="280" spans="1:25" s="174" customFormat="1" ht="22.5" customHeight="1" thickTop="1" thickBot="1" x14ac:dyDescent="0.3">
      <c r="A280" s="430" t="s">
        <v>67</v>
      </c>
      <c r="B280" s="425" t="s">
        <v>85</v>
      </c>
      <c r="C280" s="425" t="s">
        <v>91</v>
      </c>
      <c r="D280" s="425" t="s">
        <v>416</v>
      </c>
      <c r="E280" s="425" t="s">
        <v>85</v>
      </c>
      <c r="F280" s="425"/>
      <c r="G280" s="425"/>
      <c r="H280" s="426"/>
      <c r="I280" s="426"/>
      <c r="J280" s="427" t="s">
        <v>423</v>
      </c>
      <c r="K280" s="457"/>
      <c r="L280" s="457"/>
      <c r="M280" s="457"/>
      <c r="N280" s="457"/>
      <c r="O280" s="457"/>
      <c r="P280" s="457"/>
      <c r="Q280" s="457"/>
      <c r="R280" s="457"/>
      <c r="S280" s="457"/>
      <c r="T280" s="457"/>
      <c r="U280" s="458"/>
      <c r="V280" s="425"/>
      <c r="W280" s="425"/>
      <c r="X280" s="425"/>
      <c r="Y280" s="406" t="s">
        <v>70</v>
      </c>
    </row>
    <row r="281" spans="1:25" s="174" customFormat="1" ht="22.5" customHeight="1" thickTop="1" thickBot="1" x14ac:dyDescent="0.3">
      <c r="A281" s="419">
        <v>1</v>
      </c>
      <c r="B281" s="420" t="s">
        <v>85</v>
      </c>
      <c r="C281" s="420" t="s">
        <v>91</v>
      </c>
      <c r="D281" s="420" t="s">
        <v>424</v>
      </c>
      <c r="E281" s="420"/>
      <c r="F281" s="420"/>
      <c r="G281" s="420"/>
      <c r="H281" s="421"/>
      <c r="I281" s="421"/>
      <c r="J281" s="422" t="s">
        <v>425</v>
      </c>
      <c r="K281" s="450"/>
      <c r="L281" s="450"/>
      <c r="M281" s="450"/>
      <c r="N281" s="450"/>
      <c r="O281" s="450"/>
      <c r="P281" s="450"/>
      <c r="Q281" s="450"/>
      <c r="R281" s="450"/>
      <c r="S281" s="450"/>
      <c r="T281" s="450"/>
      <c r="U281" s="451"/>
      <c r="V281" s="420"/>
      <c r="W281" s="420"/>
      <c r="X281" s="420"/>
      <c r="Y281" s="406"/>
    </row>
    <row r="282" spans="1:25" ht="22.5" customHeight="1" thickTop="1" thickBot="1" x14ac:dyDescent="0.3">
      <c r="A282" s="434">
        <v>1</v>
      </c>
      <c r="B282" s="426" t="s">
        <v>85</v>
      </c>
      <c r="C282" s="426" t="s">
        <v>91</v>
      </c>
      <c r="D282" s="426" t="s">
        <v>424</v>
      </c>
      <c r="E282" s="425" t="s">
        <v>71</v>
      </c>
      <c r="F282" s="426"/>
      <c r="G282" s="426"/>
      <c r="H282" s="426"/>
      <c r="I282" s="426"/>
      <c r="J282" s="431" t="s">
        <v>426</v>
      </c>
      <c r="K282" s="455"/>
      <c r="L282" s="455"/>
      <c r="M282" s="455"/>
      <c r="N282" s="455"/>
      <c r="O282" s="455"/>
      <c r="P282" s="455"/>
      <c r="Q282" s="455"/>
      <c r="R282" s="455"/>
      <c r="S282" s="455"/>
      <c r="T282" s="455"/>
      <c r="U282" s="456"/>
      <c r="V282" s="426"/>
      <c r="W282" s="426"/>
      <c r="X282" s="426"/>
      <c r="Y282" s="439"/>
    </row>
    <row r="283" spans="1:25" ht="22.5" customHeight="1" thickTop="1" thickBot="1" x14ac:dyDescent="0.3">
      <c r="A283" s="434">
        <v>1</v>
      </c>
      <c r="B283" s="426" t="s">
        <v>85</v>
      </c>
      <c r="C283" s="426" t="s">
        <v>91</v>
      </c>
      <c r="D283" s="426" t="s">
        <v>424</v>
      </c>
      <c r="E283" s="425" t="s">
        <v>85</v>
      </c>
      <c r="F283" s="426"/>
      <c r="G283" s="426"/>
      <c r="H283" s="426"/>
      <c r="I283" s="426"/>
      <c r="J283" s="431" t="s">
        <v>427</v>
      </c>
      <c r="K283" s="455"/>
      <c r="L283" s="455"/>
      <c r="M283" s="455"/>
      <c r="N283" s="455"/>
      <c r="O283" s="455"/>
      <c r="P283" s="455"/>
      <c r="Q283" s="455"/>
      <c r="R283" s="455"/>
      <c r="S283" s="455"/>
      <c r="T283" s="455"/>
      <c r="U283" s="456"/>
      <c r="V283" s="426"/>
      <c r="W283" s="426"/>
      <c r="X283" s="426"/>
      <c r="Y283" s="439"/>
    </row>
    <row r="284" spans="1:25" s="174" customFormat="1" ht="22.5" customHeight="1" thickTop="1" thickBot="1" x14ac:dyDescent="0.3">
      <c r="A284" s="413" t="s">
        <v>67</v>
      </c>
      <c r="B284" s="414" t="s">
        <v>85</v>
      </c>
      <c r="C284" s="414" t="s">
        <v>93</v>
      </c>
      <c r="D284" s="414"/>
      <c r="E284" s="414"/>
      <c r="F284" s="414"/>
      <c r="G284" s="414"/>
      <c r="H284" s="415"/>
      <c r="I284" s="415"/>
      <c r="J284" s="416" t="s">
        <v>428</v>
      </c>
      <c r="K284" s="459"/>
      <c r="L284" s="459"/>
      <c r="M284" s="459"/>
      <c r="N284" s="459"/>
      <c r="O284" s="459"/>
      <c r="P284" s="459"/>
      <c r="Q284" s="459"/>
      <c r="R284" s="459"/>
      <c r="S284" s="459"/>
      <c r="T284" s="459"/>
      <c r="U284" s="460"/>
      <c r="V284" s="414"/>
      <c r="W284" s="414" t="s">
        <v>429</v>
      </c>
      <c r="X284" s="414" t="s">
        <v>430</v>
      </c>
      <c r="Y284" s="406" t="s">
        <v>70</v>
      </c>
    </row>
    <row r="285" spans="1:25" s="174" customFormat="1" ht="22.5" customHeight="1" thickTop="1" thickBot="1" x14ac:dyDescent="0.3">
      <c r="A285" s="419" t="s">
        <v>67</v>
      </c>
      <c r="B285" s="420" t="s">
        <v>85</v>
      </c>
      <c r="C285" s="420" t="s">
        <v>93</v>
      </c>
      <c r="D285" s="420" t="s">
        <v>71</v>
      </c>
      <c r="E285" s="420"/>
      <c r="F285" s="420"/>
      <c r="G285" s="420"/>
      <c r="H285" s="421"/>
      <c r="I285" s="421"/>
      <c r="J285" s="422" t="s">
        <v>431</v>
      </c>
      <c r="K285" s="450"/>
      <c r="L285" s="450"/>
      <c r="M285" s="450"/>
      <c r="N285" s="450"/>
      <c r="O285" s="450"/>
      <c r="P285" s="450"/>
      <c r="Q285" s="450"/>
      <c r="R285" s="450"/>
      <c r="S285" s="450"/>
      <c r="T285" s="450"/>
      <c r="U285" s="451"/>
      <c r="V285" s="420"/>
      <c r="W285" s="419"/>
      <c r="X285" s="419"/>
      <c r="Y285" s="406" t="s">
        <v>70</v>
      </c>
    </row>
    <row r="286" spans="1:25" s="174" customFormat="1" ht="22.5" customHeight="1" thickTop="1" thickBot="1" x14ac:dyDescent="0.3">
      <c r="A286" s="430" t="s">
        <v>67</v>
      </c>
      <c r="B286" s="425" t="s">
        <v>85</v>
      </c>
      <c r="C286" s="425" t="s">
        <v>93</v>
      </c>
      <c r="D286" s="425" t="s">
        <v>71</v>
      </c>
      <c r="E286" s="425" t="s">
        <v>71</v>
      </c>
      <c r="F286" s="425"/>
      <c r="G286" s="425"/>
      <c r="H286" s="426"/>
      <c r="I286" s="426"/>
      <c r="J286" s="427" t="s">
        <v>432</v>
      </c>
      <c r="K286" s="446"/>
      <c r="L286" s="446"/>
      <c r="M286" s="446"/>
      <c r="N286" s="446"/>
      <c r="O286" s="446"/>
      <c r="P286" s="446"/>
      <c r="Q286" s="446"/>
      <c r="R286" s="446"/>
      <c r="S286" s="446"/>
      <c r="T286" s="446"/>
      <c r="U286" s="447"/>
      <c r="V286" s="425"/>
      <c r="W286" s="430"/>
      <c r="X286" s="430"/>
      <c r="Y286" s="406" t="s">
        <v>70</v>
      </c>
    </row>
    <row r="287" spans="1:25" s="174" customFormat="1" ht="22.5" customHeight="1" thickTop="1" thickBot="1" x14ac:dyDescent="0.3">
      <c r="A287" s="419" t="s">
        <v>67</v>
      </c>
      <c r="B287" s="420" t="s">
        <v>85</v>
      </c>
      <c r="C287" s="420" t="s">
        <v>93</v>
      </c>
      <c r="D287" s="420" t="s">
        <v>85</v>
      </c>
      <c r="E287" s="420"/>
      <c r="F287" s="420"/>
      <c r="G287" s="420"/>
      <c r="H287" s="421"/>
      <c r="I287" s="421"/>
      <c r="J287" s="422" t="s">
        <v>433</v>
      </c>
      <c r="K287" s="450"/>
      <c r="L287" s="450"/>
      <c r="M287" s="450"/>
      <c r="N287" s="450"/>
      <c r="O287" s="450"/>
      <c r="P287" s="450"/>
      <c r="Q287" s="450"/>
      <c r="R287" s="450"/>
      <c r="S287" s="450"/>
      <c r="T287" s="450"/>
      <c r="U287" s="451"/>
      <c r="V287" s="420"/>
      <c r="W287" s="419"/>
      <c r="X287" s="419"/>
      <c r="Y287" s="406" t="s">
        <v>70</v>
      </c>
    </row>
    <row r="288" spans="1:25" s="174" customFormat="1" ht="22.5" customHeight="1" thickTop="1" thickBot="1" x14ac:dyDescent="0.3">
      <c r="A288" s="419" t="s">
        <v>67</v>
      </c>
      <c r="B288" s="420" t="s">
        <v>85</v>
      </c>
      <c r="C288" s="420" t="s">
        <v>93</v>
      </c>
      <c r="D288" s="420" t="s">
        <v>87</v>
      </c>
      <c r="E288" s="420"/>
      <c r="F288" s="420"/>
      <c r="G288" s="420"/>
      <c r="H288" s="421"/>
      <c r="I288" s="421"/>
      <c r="J288" s="422" t="s">
        <v>434</v>
      </c>
      <c r="K288" s="450"/>
      <c r="L288" s="450"/>
      <c r="M288" s="450"/>
      <c r="N288" s="450"/>
      <c r="O288" s="450"/>
      <c r="P288" s="450"/>
      <c r="Q288" s="450"/>
      <c r="R288" s="450"/>
      <c r="S288" s="450"/>
      <c r="T288" s="450"/>
      <c r="U288" s="451"/>
      <c r="V288" s="420"/>
      <c r="W288" s="419"/>
      <c r="X288" s="419"/>
      <c r="Y288" s="406" t="s">
        <v>70</v>
      </c>
    </row>
    <row r="289" spans="1:25" ht="22.5" customHeight="1" thickTop="1" thickBot="1" x14ac:dyDescent="0.3">
      <c r="A289" s="434" t="s">
        <v>67</v>
      </c>
      <c r="B289" s="426" t="s">
        <v>85</v>
      </c>
      <c r="C289" s="426" t="s">
        <v>93</v>
      </c>
      <c r="D289" s="426" t="s">
        <v>87</v>
      </c>
      <c r="E289" s="425" t="s">
        <v>71</v>
      </c>
      <c r="F289" s="426"/>
      <c r="G289" s="426"/>
      <c r="H289" s="426"/>
      <c r="I289" s="426"/>
      <c r="J289" s="431" t="s">
        <v>435</v>
      </c>
      <c r="K289" s="448"/>
      <c r="L289" s="448"/>
      <c r="M289" s="448"/>
      <c r="N289" s="448"/>
      <c r="O289" s="448"/>
      <c r="P289" s="448"/>
      <c r="Q289" s="448"/>
      <c r="R289" s="448"/>
      <c r="S289" s="448"/>
      <c r="T289" s="448"/>
      <c r="U289" s="449"/>
      <c r="V289" s="434"/>
      <c r="W289" s="434"/>
      <c r="X289" s="434"/>
      <c r="Y289" s="439" t="s">
        <v>70</v>
      </c>
    </row>
    <row r="290" spans="1:25" ht="22.5" customHeight="1" thickTop="1" thickBot="1" x14ac:dyDescent="0.3">
      <c r="A290" s="434" t="s">
        <v>67</v>
      </c>
      <c r="B290" s="426" t="s">
        <v>85</v>
      </c>
      <c r="C290" s="426" t="s">
        <v>93</v>
      </c>
      <c r="D290" s="426" t="s">
        <v>87</v>
      </c>
      <c r="E290" s="425" t="s">
        <v>85</v>
      </c>
      <c r="F290" s="426"/>
      <c r="G290" s="426"/>
      <c r="H290" s="426"/>
      <c r="I290" s="426"/>
      <c r="J290" s="431" t="s">
        <v>436</v>
      </c>
      <c r="K290" s="448"/>
      <c r="L290" s="448"/>
      <c r="M290" s="448"/>
      <c r="N290" s="448"/>
      <c r="O290" s="448"/>
      <c r="P290" s="448"/>
      <c r="Q290" s="448"/>
      <c r="R290" s="448"/>
      <c r="S290" s="448"/>
      <c r="T290" s="448"/>
      <c r="U290" s="449"/>
      <c r="V290" s="434"/>
      <c r="W290" s="434"/>
      <c r="X290" s="434"/>
      <c r="Y290" s="439" t="s">
        <v>70</v>
      </c>
    </row>
    <row r="291" spans="1:25" ht="22.5" customHeight="1" thickTop="1" thickBot="1" x14ac:dyDescent="0.3">
      <c r="A291" s="434" t="s">
        <v>67</v>
      </c>
      <c r="B291" s="426" t="s">
        <v>85</v>
      </c>
      <c r="C291" s="426" t="s">
        <v>93</v>
      </c>
      <c r="D291" s="426" t="s">
        <v>87</v>
      </c>
      <c r="E291" s="425" t="s">
        <v>87</v>
      </c>
      <c r="F291" s="426"/>
      <c r="G291" s="426"/>
      <c r="H291" s="426"/>
      <c r="I291" s="426"/>
      <c r="J291" s="431" t="s">
        <v>437</v>
      </c>
      <c r="K291" s="448"/>
      <c r="L291" s="448"/>
      <c r="M291" s="448"/>
      <c r="N291" s="448"/>
      <c r="O291" s="448"/>
      <c r="P291" s="448"/>
      <c r="Q291" s="448"/>
      <c r="R291" s="448"/>
      <c r="S291" s="448"/>
      <c r="T291" s="448"/>
      <c r="U291" s="449"/>
      <c r="V291" s="434"/>
      <c r="W291" s="434"/>
      <c r="X291" s="434"/>
      <c r="Y291" s="439" t="s">
        <v>70</v>
      </c>
    </row>
    <row r="292" spans="1:25" ht="22.5" customHeight="1" thickTop="1" thickBot="1" x14ac:dyDescent="0.3">
      <c r="A292" s="434" t="s">
        <v>67</v>
      </c>
      <c r="B292" s="426" t="s">
        <v>85</v>
      </c>
      <c r="C292" s="426" t="s">
        <v>93</v>
      </c>
      <c r="D292" s="426" t="s">
        <v>87</v>
      </c>
      <c r="E292" s="425" t="s">
        <v>89</v>
      </c>
      <c r="F292" s="426"/>
      <c r="G292" s="426"/>
      <c r="H292" s="426"/>
      <c r="I292" s="426"/>
      <c r="J292" s="431" t="s">
        <v>438</v>
      </c>
      <c r="K292" s="448"/>
      <c r="L292" s="448"/>
      <c r="M292" s="448"/>
      <c r="N292" s="448"/>
      <c r="O292" s="448"/>
      <c r="P292" s="448"/>
      <c r="Q292" s="448"/>
      <c r="R292" s="448"/>
      <c r="S292" s="448"/>
      <c r="T292" s="448"/>
      <c r="U292" s="449"/>
      <c r="V292" s="434"/>
      <c r="W292" s="434"/>
      <c r="X292" s="434"/>
      <c r="Y292" s="439" t="s">
        <v>70</v>
      </c>
    </row>
    <row r="293" spans="1:25" ht="22.5" customHeight="1" thickTop="1" thickBot="1" x14ac:dyDescent="0.3">
      <c r="A293" s="434" t="s">
        <v>67</v>
      </c>
      <c r="B293" s="426" t="s">
        <v>85</v>
      </c>
      <c r="C293" s="426" t="s">
        <v>93</v>
      </c>
      <c r="D293" s="426" t="s">
        <v>87</v>
      </c>
      <c r="E293" s="425" t="s">
        <v>91</v>
      </c>
      <c r="F293" s="426"/>
      <c r="G293" s="426"/>
      <c r="H293" s="426"/>
      <c r="I293" s="426"/>
      <c r="J293" s="431" t="s">
        <v>439</v>
      </c>
      <c r="K293" s="448"/>
      <c r="L293" s="448"/>
      <c r="M293" s="448"/>
      <c r="N293" s="448"/>
      <c r="O293" s="448"/>
      <c r="P293" s="448"/>
      <c r="Q293" s="448"/>
      <c r="R293" s="448"/>
      <c r="S293" s="448"/>
      <c r="T293" s="448"/>
      <c r="U293" s="449"/>
      <c r="V293" s="434"/>
      <c r="W293" s="434"/>
      <c r="X293" s="434"/>
      <c r="Y293" s="439" t="s">
        <v>70</v>
      </c>
    </row>
    <row r="294" spans="1:25" s="174" customFormat="1" ht="22.5" customHeight="1" thickTop="1" thickBot="1" x14ac:dyDescent="0.3">
      <c r="A294" s="419" t="s">
        <v>67</v>
      </c>
      <c r="B294" s="420" t="s">
        <v>85</v>
      </c>
      <c r="C294" s="420" t="s">
        <v>93</v>
      </c>
      <c r="D294" s="420" t="s">
        <v>89</v>
      </c>
      <c r="E294" s="420"/>
      <c r="F294" s="420"/>
      <c r="G294" s="420"/>
      <c r="H294" s="421"/>
      <c r="I294" s="421"/>
      <c r="J294" s="422" t="s">
        <v>440</v>
      </c>
      <c r="K294" s="450"/>
      <c r="L294" s="450"/>
      <c r="M294" s="450"/>
      <c r="N294" s="450"/>
      <c r="O294" s="450"/>
      <c r="P294" s="450"/>
      <c r="Q294" s="450"/>
      <c r="R294" s="450"/>
      <c r="S294" s="450"/>
      <c r="T294" s="450"/>
      <c r="U294" s="451"/>
      <c r="V294" s="420"/>
      <c r="W294" s="419"/>
      <c r="X294" s="419"/>
      <c r="Y294" s="406" t="s">
        <v>70</v>
      </c>
    </row>
    <row r="295" spans="1:25" s="174" customFormat="1" ht="22.5" customHeight="1" thickTop="1" thickBot="1" x14ac:dyDescent="0.3">
      <c r="A295" s="419" t="s">
        <v>67</v>
      </c>
      <c r="B295" s="420" t="s">
        <v>85</v>
      </c>
      <c r="C295" s="420" t="s">
        <v>93</v>
      </c>
      <c r="D295" s="420" t="s">
        <v>91</v>
      </c>
      <c r="E295" s="420"/>
      <c r="F295" s="420"/>
      <c r="G295" s="420"/>
      <c r="H295" s="421"/>
      <c r="I295" s="421"/>
      <c r="J295" s="422" t="s">
        <v>441</v>
      </c>
      <c r="K295" s="450"/>
      <c r="L295" s="450"/>
      <c r="M295" s="450"/>
      <c r="N295" s="450"/>
      <c r="O295" s="450"/>
      <c r="P295" s="450"/>
      <c r="Q295" s="450"/>
      <c r="R295" s="450"/>
      <c r="S295" s="450"/>
      <c r="T295" s="450"/>
      <c r="U295" s="451"/>
      <c r="V295" s="420"/>
      <c r="W295" s="419"/>
      <c r="X295" s="419"/>
      <c r="Y295" s="406" t="s">
        <v>70</v>
      </c>
    </row>
    <row r="296" spans="1:25" s="174" customFormat="1" ht="22.5" customHeight="1" thickTop="1" thickBot="1" x14ac:dyDescent="0.3">
      <c r="A296" s="419">
        <v>1</v>
      </c>
      <c r="B296" s="420" t="s">
        <v>85</v>
      </c>
      <c r="C296" s="420" t="s">
        <v>93</v>
      </c>
      <c r="D296" s="420" t="s">
        <v>93</v>
      </c>
      <c r="E296" s="420"/>
      <c r="F296" s="420"/>
      <c r="G296" s="420"/>
      <c r="H296" s="421"/>
      <c r="I296" s="421"/>
      <c r="J296" s="422" t="s">
        <v>442</v>
      </c>
      <c r="K296" s="450"/>
      <c r="L296" s="450"/>
      <c r="M296" s="450"/>
      <c r="N296" s="450"/>
      <c r="O296" s="450"/>
      <c r="P296" s="450"/>
      <c r="Q296" s="450"/>
      <c r="R296" s="450"/>
      <c r="S296" s="450"/>
      <c r="T296" s="450"/>
      <c r="U296" s="451"/>
      <c r="V296" s="420"/>
      <c r="W296" s="419"/>
      <c r="X296" s="419"/>
      <c r="Y296" s="406"/>
    </row>
    <row r="297" spans="1:25" s="490" customFormat="1" ht="22.5" customHeight="1" thickTop="1" thickBot="1" x14ac:dyDescent="0.3">
      <c r="A297" s="487" t="s">
        <v>67</v>
      </c>
      <c r="B297" s="481" t="s">
        <v>85</v>
      </c>
      <c r="C297" s="481" t="s">
        <v>95</v>
      </c>
      <c r="D297" s="481"/>
      <c r="E297" s="481"/>
      <c r="F297" s="481"/>
      <c r="G297" s="481"/>
      <c r="H297" s="480"/>
      <c r="I297" s="480"/>
      <c r="J297" s="482" t="s">
        <v>443</v>
      </c>
      <c r="K297" s="488"/>
      <c r="L297" s="488"/>
      <c r="M297" s="488"/>
      <c r="N297" s="488"/>
      <c r="O297" s="488"/>
      <c r="P297" s="488"/>
      <c r="Q297" s="488"/>
      <c r="R297" s="488"/>
      <c r="S297" s="488"/>
      <c r="T297" s="488"/>
      <c r="U297" s="489"/>
      <c r="V297" s="481"/>
      <c r="W297" s="481" t="s">
        <v>444</v>
      </c>
      <c r="X297" s="481"/>
      <c r="Y297" s="485" t="s">
        <v>70</v>
      </c>
    </row>
    <row r="298" spans="1:25" s="490" customFormat="1" ht="22.5" customHeight="1" thickTop="1" thickBot="1" x14ac:dyDescent="0.3">
      <c r="A298" s="487"/>
      <c r="B298" s="481"/>
      <c r="C298" s="481"/>
      <c r="D298" s="481"/>
      <c r="E298" s="481"/>
      <c r="F298" s="481"/>
      <c r="G298" s="481"/>
      <c r="H298" s="480"/>
      <c r="I298" s="480"/>
      <c r="J298" s="482"/>
      <c r="K298" s="488"/>
      <c r="L298" s="488"/>
      <c r="M298" s="488"/>
      <c r="N298" s="488"/>
      <c r="O298" s="488"/>
      <c r="P298" s="488"/>
      <c r="Q298" s="488"/>
      <c r="R298" s="488"/>
      <c r="S298" s="488"/>
      <c r="T298" s="488"/>
      <c r="U298" s="489"/>
      <c r="V298" s="481"/>
      <c r="W298" s="481"/>
      <c r="X298" s="481"/>
      <c r="Y298" s="485"/>
    </row>
    <row r="299" spans="1:25" s="490" customFormat="1" ht="22.5" customHeight="1" thickTop="1" thickBot="1" x14ac:dyDescent="0.3">
      <c r="A299" s="487"/>
      <c r="B299" s="481"/>
      <c r="C299" s="481"/>
      <c r="D299" s="481"/>
      <c r="E299" s="481"/>
      <c r="F299" s="481"/>
      <c r="G299" s="481"/>
      <c r="H299" s="480"/>
      <c r="I299" s="480"/>
      <c r="J299" s="482"/>
      <c r="K299" s="488"/>
      <c r="L299" s="488"/>
      <c r="M299" s="488"/>
      <c r="N299" s="488"/>
      <c r="O299" s="488"/>
      <c r="P299" s="488"/>
      <c r="Q299" s="488"/>
      <c r="R299" s="488"/>
      <c r="S299" s="488"/>
      <c r="T299" s="488"/>
      <c r="U299" s="489"/>
      <c r="V299" s="481"/>
      <c r="W299" s="487"/>
      <c r="X299" s="487"/>
      <c r="Y299" s="485"/>
    </row>
    <row r="300" spans="1:25" s="174" customFormat="1" ht="22.5" customHeight="1" thickTop="1" thickBot="1" x14ac:dyDescent="0.3">
      <c r="A300" s="419" t="s">
        <v>67</v>
      </c>
      <c r="B300" s="420" t="s">
        <v>85</v>
      </c>
      <c r="C300" s="420" t="s">
        <v>95</v>
      </c>
      <c r="D300" s="420" t="s">
        <v>87</v>
      </c>
      <c r="E300" s="420"/>
      <c r="F300" s="420"/>
      <c r="G300" s="420"/>
      <c r="H300" s="421"/>
      <c r="I300" s="421"/>
      <c r="J300" s="422" t="s">
        <v>445</v>
      </c>
      <c r="K300" s="423"/>
      <c r="L300" s="423"/>
      <c r="M300" s="423"/>
      <c r="N300" s="423"/>
      <c r="O300" s="423"/>
      <c r="P300" s="423"/>
      <c r="Q300" s="423"/>
      <c r="R300" s="423"/>
      <c r="S300" s="423"/>
      <c r="T300" s="423"/>
      <c r="U300" s="424"/>
      <c r="V300" s="420"/>
      <c r="W300" s="420"/>
      <c r="X300" s="420"/>
      <c r="Y300" s="406" t="s">
        <v>70</v>
      </c>
    </row>
    <row r="301" spans="1:25" s="174" customFormat="1" ht="22.5" customHeight="1" thickTop="1" thickBot="1" x14ac:dyDescent="0.3">
      <c r="A301" s="430" t="s">
        <v>67</v>
      </c>
      <c r="B301" s="425" t="s">
        <v>85</v>
      </c>
      <c r="C301" s="425" t="s">
        <v>95</v>
      </c>
      <c r="D301" s="425" t="s">
        <v>87</v>
      </c>
      <c r="E301" s="425" t="s">
        <v>71</v>
      </c>
      <c r="F301" s="425"/>
      <c r="G301" s="425"/>
      <c r="H301" s="426"/>
      <c r="I301" s="426"/>
      <c r="J301" s="427" t="s">
        <v>446</v>
      </c>
      <c r="K301" s="428"/>
      <c r="L301" s="428"/>
      <c r="M301" s="428"/>
      <c r="N301" s="428"/>
      <c r="O301" s="428"/>
      <c r="P301" s="428"/>
      <c r="Q301" s="428"/>
      <c r="R301" s="428"/>
      <c r="S301" s="428"/>
      <c r="T301" s="428"/>
      <c r="U301" s="429"/>
      <c r="V301" s="425"/>
      <c r="W301" s="430"/>
      <c r="X301" s="430"/>
      <c r="Y301" s="406" t="s">
        <v>70</v>
      </c>
    </row>
    <row r="302" spans="1:25" ht="22.5" customHeight="1" thickTop="1" thickBot="1" x14ac:dyDescent="0.3">
      <c r="A302" s="434" t="s">
        <v>67</v>
      </c>
      <c r="B302" s="426" t="s">
        <v>85</v>
      </c>
      <c r="C302" s="426" t="s">
        <v>95</v>
      </c>
      <c r="D302" s="426" t="s">
        <v>87</v>
      </c>
      <c r="E302" s="426" t="s">
        <v>71</v>
      </c>
      <c r="F302" s="425" t="s">
        <v>71</v>
      </c>
      <c r="G302" s="426"/>
      <c r="H302" s="426"/>
      <c r="I302" s="426"/>
      <c r="J302" s="431" t="s">
        <v>447</v>
      </c>
      <c r="K302" s="432"/>
      <c r="L302" s="432"/>
      <c r="M302" s="432"/>
      <c r="N302" s="428"/>
      <c r="O302" s="432"/>
      <c r="P302" s="432"/>
      <c r="Q302" s="432"/>
      <c r="R302" s="432"/>
      <c r="S302" s="428"/>
      <c r="T302" s="432"/>
      <c r="U302" s="433"/>
      <c r="V302" s="426"/>
      <c r="W302" s="434"/>
      <c r="X302" s="434"/>
      <c r="Y302" s="406" t="s">
        <v>70</v>
      </c>
    </row>
    <row r="303" spans="1:25" s="174" customFormat="1" ht="22.5" customHeight="1" thickTop="1" thickBot="1" x14ac:dyDescent="0.3">
      <c r="A303" s="430" t="s">
        <v>67</v>
      </c>
      <c r="B303" s="425" t="s">
        <v>85</v>
      </c>
      <c r="C303" s="425" t="s">
        <v>95</v>
      </c>
      <c r="D303" s="425" t="s">
        <v>87</v>
      </c>
      <c r="E303" s="425" t="s">
        <v>85</v>
      </c>
      <c r="F303" s="425"/>
      <c r="G303" s="425"/>
      <c r="H303" s="426"/>
      <c r="I303" s="426"/>
      <c r="J303" s="427" t="s">
        <v>448</v>
      </c>
      <c r="K303" s="428"/>
      <c r="L303" s="428"/>
      <c r="M303" s="428"/>
      <c r="N303" s="428"/>
      <c r="O303" s="428"/>
      <c r="P303" s="428"/>
      <c r="Q303" s="428"/>
      <c r="R303" s="428"/>
      <c r="S303" s="428"/>
      <c r="T303" s="428"/>
      <c r="U303" s="429"/>
      <c r="V303" s="425"/>
      <c r="W303" s="430"/>
      <c r="X303" s="430"/>
      <c r="Y303" s="406" t="s">
        <v>70</v>
      </c>
    </row>
    <row r="304" spans="1:25" s="174" customFormat="1" ht="22.5" customHeight="1" thickTop="1" thickBot="1" x14ac:dyDescent="0.3">
      <c r="A304" s="430" t="s">
        <v>67</v>
      </c>
      <c r="B304" s="425" t="s">
        <v>85</v>
      </c>
      <c r="C304" s="425" t="s">
        <v>95</v>
      </c>
      <c r="D304" s="425" t="s">
        <v>87</v>
      </c>
      <c r="E304" s="425" t="s">
        <v>87</v>
      </c>
      <c r="F304" s="425"/>
      <c r="G304" s="425"/>
      <c r="H304" s="426"/>
      <c r="I304" s="426"/>
      <c r="J304" s="427" t="s">
        <v>449</v>
      </c>
      <c r="K304" s="428"/>
      <c r="L304" s="428"/>
      <c r="M304" s="428"/>
      <c r="N304" s="428"/>
      <c r="O304" s="428"/>
      <c r="P304" s="428"/>
      <c r="Q304" s="428"/>
      <c r="R304" s="428"/>
      <c r="S304" s="428"/>
      <c r="T304" s="428"/>
      <c r="U304" s="429"/>
      <c r="V304" s="425"/>
      <c r="W304" s="430"/>
      <c r="X304" s="430"/>
      <c r="Y304" s="406" t="s">
        <v>70</v>
      </c>
    </row>
    <row r="305" spans="1:25" ht="22.5" customHeight="1" thickTop="1" thickBot="1" x14ac:dyDescent="0.3">
      <c r="A305" s="434" t="s">
        <v>67</v>
      </c>
      <c r="B305" s="426" t="s">
        <v>85</v>
      </c>
      <c r="C305" s="426" t="s">
        <v>95</v>
      </c>
      <c r="D305" s="426" t="s">
        <v>87</v>
      </c>
      <c r="E305" s="426" t="s">
        <v>87</v>
      </c>
      <c r="F305" s="425" t="s">
        <v>71</v>
      </c>
      <c r="G305" s="426"/>
      <c r="H305" s="426"/>
      <c r="I305" s="426"/>
      <c r="J305" s="431" t="s">
        <v>450</v>
      </c>
      <c r="K305" s="432"/>
      <c r="L305" s="432"/>
      <c r="M305" s="432"/>
      <c r="N305" s="428"/>
      <c r="O305" s="432"/>
      <c r="P305" s="432"/>
      <c r="Q305" s="432"/>
      <c r="R305" s="432"/>
      <c r="S305" s="428"/>
      <c r="T305" s="432"/>
      <c r="U305" s="433"/>
      <c r="V305" s="426"/>
      <c r="W305" s="434"/>
      <c r="X305" s="434"/>
      <c r="Y305" s="406" t="s">
        <v>70</v>
      </c>
    </row>
    <row r="306" spans="1:25" ht="22.5" customHeight="1" thickTop="1" thickBot="1" x14ac:dyDescent="0.3">
      <c r="A306" s="434" t="s">
        <v>67</v>
      </c>
      <c r="B306" s="426" t="s">
        <v>85</v>
      </c>
      <c r="C306" s="426" t="s">
        <v>95</v>
      </c>
      <c r="D306" s="426" t="s">
        <v>87</v>
      </c>
      <c r="E306" s="426" t="s">
        <v>87</v>
      </c>
      <c r="F306" s="425" t="s">
        <v>85</v>
      </c>
      <c r="G306" s="426"/>
      <c r="H306" s="426"/>
      <c r="I306" s="426"/>
      <c r="J306" s="431" t="s">
        <v>451</v>
      </c>
      <c r="K306" s="432"/>
      <c r="L306" s="432"/>
      <c r="M306" s="432"/>
      <c r="N306" s="428"/>
      <c r="O306" s="432"/>
      <c r="P306" s="432"/>
      <c r="Q306" s="432"/>
      <c r="R306" s="432"/>
      <c r="S306" s="428"/>
      <c r="T306" s="432"/>
      <c r="U306" s="433"/>
      <c r="V306" s="426"/>
      <c r="W306" s="434"/>
      <c r="X306" s="434"/>
      <c r="Y306" s="406" t="s">
        <v>70</v>
      </c>
    </row>
    <row r="307" spans="1:25" ht="22.5" customHeight="1" thickTop="1" thickBot="1" x14ac:dyDescent="0.3">
      <c r="A307" s="434" t="s">
        <v>67</v>
      </c>
      <c r="B307" s="426" t="s">
        <v>85</v>
      </c>
      <c r="C307" s="426" t="s">
        <v>95</v>
      </c>
      <c r="D307" s="426" t="s">
        <v>87</v>
      </c>
      <c r="E307" s="426" t="s">
        <v>87</v>
      </c>
      <c r="F307" s="425" t="s">
        <v>87</v>
      </c>
      <c r="G307" s="426"/>
      <c r="H307" s="426"/>
      <c r="I307" s="426"/>
      <c r="J307" s="431" t="s">
        <v>452</v>
      </c>
      <c r="K307" s="432"/>
      <c r="L307" s="432"/>
      <c r="M307" s="432"/>
      <c r="N307" s="428"/>
      <c r="O307" s="432"/>
      <c r="P307" s="432"/>
      <c r="Q307" s="432"/>
      <c r="R307" s="432"/>
      <c r="S307" s="428"/>
      <c r="T307" s="432"/>
      <c r="U307" s="433"/>
      <c r="V307" s="426"/>
      <c r="W307" s="434"/>
      <c r="X307" s="434"/>
      <c r="Y307" s="406" t="s">
        <v>70</v>
      </c>
    </row>
    <row r="308" spans="1:25" ht="22.5" customHeight="1" thickTop="1" thickBot="1" x14ac:dyDescent="0.3">
      <c r="A308" s="434" t="s">
        <v>67</v>
      </c>
      <c r="B308" s="426" t="s">
        <v>85</v>
      </c>
      <c r="C308" s="426" t="s">
        <v>95</v>
      </c>
      <c r="D308" s="426" t="s">
        <v>87</v>
      </c>
      <c r="E308" s="426" t="s">
        <v>87</v>
      </c>
      <c r="F308" s="425" t="s">
        <v>89</v>
      </c>
      <c r="G308" s="426"/>
      <c r="H308" s="426"/>
      <c r="I308" s="426"/>
      <c r="J308" s="431" t="s">
        <v>453</v>
      </c>
      <c r="K308" s="432"/>
      <c r="L308" s="432"/>
      <c r="M308" s="432"/>
      <c r="N308" s="428"/>
      <c r="O308" s="432"/>
      <c r="P308" s="432"/>
      <c r="Q308" s="432"/>
      <c r="R308" s="432"/>
      <c r="S308" s="428"/>
      <c r="T308" s="432"/>
      <c r="U308" s="433"/>
      <c r="V308" s="426"/>
      <c r="W308" s="434"/>
      <c r="X308" s="434"/>
      <c r="Y308" s="406" t="s">
        <v>70</v>
      </c>
    </row>
    <row r="309" spans="1:25" ht="22.5" customHeight="1" thickTop="1" thickBot="1" x14ac:dyDescent="0.3">
      <c r="A309" s="434" t="s">
        <v>67</v>
      </c>
      <c r="B309" s="426" t="s">
        <v>85</v>
      </c>
      <c r="C309" s="426" t="s">
        <v>95</v>
      </c>
      <c r="D309" s="426" t="s">
        <v>87</v>
      </c>
      <c r="E309" s="426" t="s">
        <v>87</v>
      </c>
      <c r="F309" s="425" t="s">
        <v>91</v>
      </c>
      <c r="G309" s="426"/>
      <c r="H309" s="426"/>
      <c r="I309" s="426"/>
      <c r="J309" s="431" t="s">
        <v>454</v>
      </c>
      <c r="K309" s="432"/>
      <c r="L309" s="432"/>
      <c r="M309" s="432"/>
      <c r="N309" s="428"/>
      <c r="O309" s="432"/>
      <c r="P309" s="432"/>
      <c r="Q309" s="432"/>
      <c r="R309" s="432"/>
      <c r="S309" s="428"/>
      <c r="T309" s="432"/>
      <c r="U309" s="433"/>
      <c r="V309" s="426"/>
      <c r="W309" s="434"/>
      <c r="X309" s="434"/>
      <c r="Y309" s="406" t="s">
        <v>70</v>
      </c>
    </row>
    <row r="310" spans="1:25" s="174" customFormat="1" ht="22.5" customHeight="1" thickTop="1" thickBot="1" x14ac:dyDescent="0.3">
      <c r="A310" s="430" t="s">
        <v>67</v>
      </c>
      <c r="B310" s="425" t="s">
        <v>85</v>
      </c>
      <c r="C310" s="425" t="s">
        <v>95</v>
      </c>
      <c r="D310" s="425" t="s">
        <v>87</v>
      </c>
      <c r="E310" s="425" t="s">
        <v>89</v>
      </c>
      <c r="F310" s="425"/>
      <c r="G310" s="425"/>
      <c r="H310" s="426"/>
      <c r="I310" s="426"/>
      <c r="J310" s="427" t="s">
        <v>455</v>
      </c>
      <c r="K310" s="428"/>
      <c r="L310" s="428"/>
      <c r="M310" s="428"/>
      <c r="N310" s="428"/>
      <c r="O310" s="428"/>
      <c r="P310" s="428"/>
      <c r="Q310" s="428"/>
      <c r="R310" s="428"/>
      <c r="S310" s="428"/>
      <c r="T310" s="428"/>
      <c r="U310" s="429"/>
      <c r="V310" s="425"/>
      <c r="W310" s="430"/>
      <c r="X310" s="430"/>
      <c r="Y310" s="406" t="s">
        <v>70</v>
      </c>
    </row>
    <row r="311" spans="1:25" s="174" customFormat="1" ht="22.5" customHeight="1" thickTop="1" thickBot="1" x14ac:dyDescent="0.3">
      <c r="A311" s="430" t="s">
        <v>67</v>
      </c>
      <c r="B311" s="425" t="s">
        <v>85</v>
      </c>
      <c r="C311" s="425" t="s">
        <v>95</v>
      </c>
      <c r="D311" s="425" t="s">
        <v>87</v>
      </c>
      <c r="E311" s="425" t="s">
        <v>91</v>
      </c>
      <c r="F311" s="425"/>
      <c r="G311" s="425"/>
      <c r="H311" s="426"/>
      <c r="I311" s="426"/>
      <c r="J311" s="427" t="s">
        <v>456</v>
      </c>
      <c r="K311" s="428"/>
      <c r="L311" s="428"/>
      <c r="M311" s="428"/>
      <c r="N311" s="428"/>
      <c r="O311" s="428"/>
      <c r="P311" s="428"/>
      <c r="Q311" s="428"/>
      <c r="R311" s="428"/>
      <c r="S311" s="428"/>
      <c r="T311" s="428"/>
      <c r="U311" s="429"/>
      <c r="V311" s="425"/>
      <c r="W311" s="430"/>
      <c r="X311" s="430"/>
      <c r="Y311" s="406" t="s">
        <v>70</v>
      </c>
    </row>
    <row r="312" spans="1:25" ht="22.5" customHeight="1" thickTop="1" thickBot="1" x14ac:dyDescent="0.3">
      <c r="A312" s="430" t="s">
        <v>67</v>
      </c>
      <c r="B312" s="425" t="s">
        <v>85</v>
      </c>
      <c r="C312" s="425" t="s">
        <v>95</v>
      </c>
      <c r="D312" s="425" t="s">
        <v>87</v>
      </c>
      <c r="E312" s="425" t="s">
        <v>93</v>
      </c>
      <c r="F312" s="426"/>
      <c r="G312" s="426"/>
      <c r="H312" s="426"/>
      <c r="I312" s="426"/>
      <c r="J312" s="427" t="s">
        <v>457</v>
      </c>
      <c r="K312" s="428"/>
      <c r="L312" s="428"/>
      <c r="M312" s="428"/>
      <c r="N312" s="428"/>
      <c r="O312" s="428"/>
      <c r="P312" s="428"/>
      <c r="Q312" s="428"/>
      <c r="R312" s="428"/>
      <c r="S312" s="428"/>
      <c r="T312" s="428"/>
      <c r="U312" s="429"/>
      <c r="V312" s="425"/>
      <c r="W312" s="430"/>
      <c r="X312" s="430"/>
    </row>
    <row r="313" spans="1:25" ht="22.5" customHeight="1" thickTop="1" thickBot="1" x14ac:dyDescent="0.3">
      <c r="A313" s="430" t="s">
        <v>67</v>
      </c>
      <c r="B313" s="425" t="s">
        <v>85</v>
      </c>
      <c r="C313" s="425" t="s">
        <v>95</v>
      </c>
      <c r="D313" s="425" t="s">
        <v>87</v>
      </c>
      <c r="E313" s="425" t="s">
        <v>95</v>
      </c>
      <c r="F313" s="426"/>
      <c r="G313" s="426"/>
      <c r="H313" s="426"/>
      <c r="I313" s="426"/>
      <c r="J313" s="427" t="s">
        <v>458</v>
      </c>
      <c r="K313" s="428"/>
      <c r="L313" s="428"/>
      <c r="M313" s="428"/>
      <c r="N313" s="428"/>
      <c r="O313" s="428"/>
      <c r="P313" s="428"/>
      <c r="Q313" s="428"/>
      <c r="R313" s="428"/>
      <c r="S313" s="428"/>
      <c r="T313" s="428"/>
      <c r="U313" s="429"/>
      <c r="V313" s="425"/>
      <c r="W313" s="430"/>
      <c r="X313" s="430"/>
    </row>
    <row r="314" spans="1:25" ht="22.5" customHeight="1" thickTop="1" thickBot="1" x14ac:dyDescent="0.3">
      <c r="A314" s="430" t="s">
        <v>67</v>
      </c>
      <c r="B314" s="425" t="s">
        <v>85</v>
      </c>
      <c r="C314" s="425" t="s">
        <v>95</v>
      </c>
      <c r="D314" s="425" t="s">
        <v>87</v>
      </c>
      <c r="E314" s="425" t="s">
        <v>97</v>
      </c>
      <c r="F314" s="426"/>
      <c r="G314" s="426"/>
      <c r="H314" s="426"/>
      <c r="I314" s="426"/>
      <c r="J314" s="427" t="s">
        <v>459</v>
      </c>
      <c r="K314" s="428"/>
      <c r="L314" s="428"/>
      <c r="M314" s="428"/>
      <c r="N314" s="428"/>
      <c r="O314" s="428"/>
      <c r="P314" s="428"/>
      <c r="Q314" s="428"/>
      <c r="R314" s="428"/>
      <c r="S314" s="428"/>
      <c r="T314" s="428"/>
      <c r="U314" s="429"/>
      <c r="V314" s="425"/>
      <c r="W314" s="430"/>
      <c r="X314" s="430"/>
    </row>
    <row r="315" spans="1:25" ht="22.5" customHeight="1" thickTop="1" thickBot="1" x14ac:dyDescent="0.3">
      <c r="A315" s="434" t="s">
        <v>67</v>
      </c>
      <c r="B315" s="426" t="s">
        <v>85</v>
      </c>
      <c r="C315" s="426" t="s">
        <v>95</v>
      </c>
      <c r="D315" s="426" t="s">
        <v>87</v>
      </c>
      <c r="E315" s="426" t="s">
        <v>97</v>
      </c>
      <c r="F315" s="425" t="s">
        <v>71</v>
      </c>
      <c r="G315" s="426"/>
      <c r="H315" s="426"/>
      <c r="I315" s="426"/>
      <c r="J315" s="427" t="s">
        <v>460</v>
      </c>
      <c r="K315" s="428"/>
      <c r="L315" s="428"/>
      <c r="M315" s="428"/>
      <c r="N315" s="428"/>
      <c r="O315" s="428"/>
      <c r="P315" s="428"/>
      <c r="Q315" s="428"/>
      <c r="R315" s="428"/>
      <c r="S315" s="428"/>
      <c r="T315" s="428"/>
      <c r="U315" s="429"/>
      <c r="V315" s="425"/>
      <c r="W315" s="430"/>
      <c r="X315" s="430"/>
    </row>
    <row r="316" spans="1:25" ht="22.5" customHeight="1" thickTop="1" thickBot="1" x14ac:dyDescent="0.3">
      <c r="A316" s="434" t="s">
        <v>67</v>
      </c>
      <c r="B316" s="426" t="s">
        <v>85</v>
      </c>
      <c r="C316" s="426" t="s">
        <v>95</v>
      </c>
      <c r="D316" s="426" t="s">
        <v>87</v>
      </c>
      <c r="E316" s="426" t="s">
        <v>97</v>
      </c>
      <c r="F316" s="426" t="s">
        <v>71</v>
      </c>
      <c r="G316" s="425" t="s">
        <v>71</v>
      </c>
      <c r="H316" s="426"/>
      <c r="I316" s="426"/>
      <c r="J316" s="431" t="s">
        <v>461</v>
      </c>
      <c r="K316" s="428"/>
      <c r="L316" s="428"/>
      <c r="M316" s="428"/>
      <c r="N316" s="428"/>
      <c r="O316" s="428"/>
      <c r="P316" s="428"/>
      <c r="Q316" s="428"/>
      <c r="R316" s="428"/>
      <c r="S316" s="428"/>
      <c r="T316" s="428"/>
      <c r="U316" s="429"/>
      <c r="V316" s="425"/>
      <c r="W316" s="430"/>
      <c r="X316" s="430"/>
    </row>
    <row r="317" spans="1:25" ht="22.5" customHeight="1" thickTop="1" thickBot="1" x14ac:dyDescent="0.3">
      <c r="A317" s="434" t="s">
        <v>67</v>
      </c>
      <c r="B317" s="426" t="s">
        <v>85</v>
      </c>
      <c r="C317" s="426" t="s">
        <v>95</v>
      </c>
      <c r="D317" s="426" t="s">
        <v>87</v>
      </c>
      <c r="E317" s="426" t="s">
        <v>97</v>
      </c>
      <c r="F317" s="426" t="s">
        <v>71</v>
      </c>
      <c r="G317" s="425" t="s">
        <v>85</v>
      </c>
      <c r="H317" s="426"/>
      <c r="I317" s="426"/>
      <c r="J317" s="431" t="s">
        <v>462</v>
      </c>
      <c r="K317" s="428"/>
      <c r="L317" s="428"/>
      <c r="M317" s="428"/>
      <c r="N317" s="428"/>
      <c r="O317" s="428"/>
      <c r="P317" s="428"/>
      <c r="Q317" s="428"/>
      <c r="R317" s="428"/>
      <c r="S317" s="428"/>
      <c r="T317" s="428"/>
      <c r="U317" s="429"/>
      <c r="V317" s="425"/>
      <c r="W317" s="430"/>
      <c r="X317" s="430"/>
    </row>
    <row r="318" spans="1:25" ht="22.5" customHeight="1" thickTop="1" thickBot="1" x14ac:dyDescent="0.3">
      <c r="A318" s="434" t="s">
        <v>67</v>
      </c>
      <c r="B318" s="426" t="s">
        <v>85</v>
      </c>
      <c r="C318" s="426" t="s">
        <v>95</v>
      </c>
      <c r="D318" s="426" t="s">
        <v>87</v>
      </c>
      <c r="E318" s="426" t="s">
        <v>97</v>
      </c>
      <c r="F318" s="426" t="s">
        <v>71</v>
      </c>
      <c r="G318" s="425" t="s">
        <v>87</v>
      </c>
      <c r="H318" s="426"/>
      <c r="I318" s="426"/>
      <c r="J318" s="431" t="s">
        <v>463</v>
      </c>
      <c r="K318" s="428"/>
      <c r="L318" s="428"/>
      <c r="M318" s="428"/>
      <c r="N318" s="428"/>
      <c r="O318" s="428"/>
      <c r="P318" s="428"/>
      <c r="Q318" s="428"/>
      <c r="R318" s="428"/>
      <c r="S318" s="428"/>
      <c r="T318" s="428"/>
      <c r="U318" s="429"/>
      <c r="V318" s="425"/>
      <c r="W318" s="430"/>
      <c r="X318" s="430"/>
    </row>
    <row r="319" spans="1:25" ht="22.5" customHeight="1" thickTop="1" thickBot="1" x14ac:dyDescent="0.3">
      <c r="A319" s="430" t="s">
        <v>67</v>
      </c>
      <c r="B319" s="425" t="s">
        <v>85</v>
      </c>
      <c r="C319" s="425" t="s">
        <v>95</v>
      </c>
      <c r="D319" s="425" t="s">
        <v>87</v>
      </c>
      <c r="E319" s="425" t="s">
        <v>400</v>
      </c>
      <c r="F319" s="426"/>
      <c r="G319" s="426"/>
      <c r="H319" s="426"/>
      <c r="I319" s="426"/>
      <c r="J319" s="427" t="s">
        <v>464</v>
      </c>
      <c r="K319" s="428"/>
      <c r="L319" s="428"/>
      <c r="M319" s="428"/>
      <c r="N319" s="428"/>
      <c r="O319" s="428"/>
      <c r="P319" s="428"/>
      <c r="Q319" s="428"/>
      <c r="R319" s="428"/>
      <c r="S319" s="428"/>
      <c r="T319" s="428"/>
      <c r="U319" s="429"/>
      <c r="V319" s="425"/>
      <c r="W319" s="430"/>
      <c r="X319" s="430"/>
    </row>
    <row r="320" spans="1:25" ht="22.5" customHeight="1" thickTop="1" thickBot="1" x14ac:dyDescent="0.3">
      <c r="A320" s="434" t="s">
        <v>67</v>
      </c>
      <c r="B320" s="426" t="s">
        <v>85</v>
      </c>
      <c r="C320" s="426" t="s">
        <v>95</v>
      </c>
      <c r="D320" s="426" t="s">
        <v>87</v>
      </c>
      <c r="E320" s="426" t="s">
        <v>400</v>
      </c>
      <c r="F320" s="425" t="s">
        <v>71</v>
      </c>
      <c r="G320" s="426"/>
      <c r="H320" s="426"/>
      <c r="I320" s="426"/>
      <c r="J320" s="431" t="s">
        <v>465</v>
      </c>
      <c r="K320" s="428"/>
      <c r="L320" s="428"/>
      <c r="M320" s="428"/>
      <c r="N320" s="428"/>
      <c r="O320" s="428"/>
      <c r="P320" s="428"/>
      <c r="Q320" s="428"/>
      <c r="R320" s="428"/>
      <c r="S320" s="428"/>
      <c r="T320" s="428"/>
      <c r="U320" s="429"/>
      <c r="V320" s="425"/>
      <c r="W320" s="430"/>
      <c r="X320" s="430"/>
    </row>
    <row r="321" spans="1:22" ht="36" customHeight="1" thickTop="1" thickBot="1" x14ac:dyDescent="0.3"/>
    <row r="322" spans="1:22" ht="18.75" customHeight="1" thickTop="1" thickBot="1" x14ac:dyDescent="0.3">
      <c r="A322" s="434">
        <v>1</v>
      </c>
      <c r="B322" s="425" t="s">
        <v>85</v>
      </c>
      <c r="C322" s="426"/>
      <c r="D322" s="426"/>
      <c r="E322" s="434"/>
      <c r="F322" s="426"/>
      <c r="G322" s="426"/>
      <c r="H322" s="426"/>
      <c r="I322" s="426"/>
      <c r="J322" s="427" t="s">
        <v>466</v>
      </c>
      <c r="K322" s="428"/>
      <c r="L322" s="428"/>
      <c r="M322" s="428"/>
      <c r="N322" s="428"/>
      <c r="O322" s="428"/>
      <c r="P322" s="428"/>
      <c r="Q322" s="428"/>
      <c r="R322" s="428"/>
      <c r="S322" s="428"/>
      <c r="T322" s="428"/>
      <c r="U322" s="428"/>
      <c r="V322" s="428"/>
    </row>
    <row r="323" spans="1:22" ht="18.75" customHeight="1" thickTop="1" thickBot="1" x14ac:dyDescent="0.3">
      <c r="A323" s="434">
        <v>1</v>
      </c>
      <c r="B323" s="425" t="s">
        <v>85</v>
      </c>
      <c r="C323" s="426" t="s">
        <v>71</v>
      </c>
      <c r="D323" s="426"/>
      <c r="E323" s="434"/>
      <c r="F323" s="426"/>
      <c r="G323" s="426"/>
      <c r="H323" s="426"/>
      <c r="I323" s="426"/>
      <c r="J323" s="427" t="s">
        <v>467</v>
      </c>
      <c r="K323" s="428"/>
      <c r="L323" s="428"/>
      <c r="M323" s="428"/>
      <c r="N323" s="428"/>
      <c r="O323" s="428"/>
      <c r="P323" s="428"/>
      <c r="Q323" s="428"/>
      <c r="R323" s="428"/>
      <c r="S323" s="428"/>
      <c r="T323" s="428"/>
      <c r="U323" s="428"/>
      <c r="V323" s="428"/>
    </row>
    <row r="324" spans="1:22" ht="18.75" customHeight="1" thickTop="1" thickBot="1" x14ac:dyDescent="0.3">
      <c r="A324" s="434">
        <v>1</v>
      </c>
      <c r="B324" s="425" t="s">
        <v>85</v>
      </c>
      <c r="C324" s="426" t="s">
        <v>71</v>
      </c>
      <c r="D324" s="426" t="s">
        <v>71</v>
      </c>
      <c r="E324" s="426"/>
      <c r="F324" s="426"/>
      <c r="G324" s="426"/>
      <c r="H324" s="426"/>
      <c r="I324" s="426"/>
      <c r="J324" s="431" t="s">
        <v>468</v>
      </c>
      <c r="K324" s="428"/>
      <c r="L324" s="428"/>
      <c r="M324" s="428"/>
      <c r="N324" s="428"/>
      <c r="O324" s="428"/>
      <c r="P324" s="428"/>
      <c r="Q324" s="428"/>
      <c r="R324" s="428"/>
      <c r="S324" s="428"/>
      <c r="T324" s="428"/>
      <c r="U324" s="428"/>
      <c r="V324" s="428"/>
    </row>
    <row r="325" spans="1:22" ht="18.75" customHeight="1" thickTop="1" thickBot="1" x14ac:dyDescent="0.3">
      <c r="A325" s="434">
        <v>1</v>
      </c>
      <c r="B325" s="425" t="s">
        <v>85</v>
      </c>
      <c r="C325" s="426" t="s">
        <v>71</v>
      </c>
      <c r="D325" s="426" t="s">
        <v>85</v>
      </c>
      <c r="E325" s="426"/>
      <c r="F325" s="426"/>
      <c r="G325" s="426"/>
      <c r="H325" s="426"/>
      <c r="I325" s="426"/>
      <c r="J325" s="431" t="s">
        <v>469</v>
      </c>
      <c r="K325" s="428"/>
      <c r="L325" s="428"/>
      <c r="M325" s="428"/>
      <c r="N325" s="428"/>
      <c r="O325" s="428"/>
      <c r="P325" s="428"/>
      <c r="Q325" s="428"/>
      <c r="R325" s="428"/>
      <c r="S325" s="428"/>
      <c r="T325" s="428"/>
      <c r="U325" s="428"/>
      <c r="V325" s="428"/>
    </row>
    <row r="326" spans="1:22" ht="18.75" customHeight="1" thickTop="1" thickBot="1" x14ac:dyDescent="0.3">
      <c r="A326" s="434">
        <v>1</v>
      </c>
      <c r="B326" s="425" t="s">
        <v>85</v>
      </c>
      <c r="C326" s="426" t="s">
        <v>71</v>
      </c>
      <c r="D326" s="426" t="s">
        <v>87</v>
      </c>
      <c r="E326" s="426"/>
      <c r="F326" s="426"/>
      <c r="G326" s="426"/>
      <c r="H326" s="426"/>
      <c r="I326" s="426"/>
      <c r="J326" s="431" t="s">
        <v>470</v>
      </c>
      <c r="K326" s="428"/>
      <c r="L326" s="428"/>
      <c r="M326" s="428"/>
      <c r="N326" s="428"/>
      <c r="O326" s="428"/>
      <c r="P326" s="428"/>
      <c r="Q326" s="428"/>
      <c r="R326" s="428"/>
      <c r="S326" s="428"/>
      <c r="T326" s="428"/>
      <c r="U326" s="428"/>
      <c r="V326" s="428"/>
    </row>
    <row r="327" spans="1:22" ht="18.75" customHeight="1" thickTop="1" thickBot="1" x14ac:dyDescent="0.3">
      <c r="A327" s="434">
        <v>1</v>
      </c>
      <c r="B327" s="425" t="s">
        <v>85</v>
      </c>
      <c r="C327" s="426" t="s">
        <v>85</v>
      </c>
      <c r="D327" s="426"/>
      <c r="E327" s="434"/>
      <c r="F327" s="426"/>
      <c r="G327" s="426"/>
      <c r="H327" s="426"/>
      <c r="I327" s="426"/>
      <c r="J327" s="427" t="s">
        <v>471</v>
      </c>
      <c r="K327" s="428"/>
      <c r="L327" s="428"/>
      <c r="M327" s="428"/>
      <c r="N327" s="428"/>
      <c r="O327" s="428"/>
      <c r="P327" s="428"/>
      <c r="Q327" s="428"/>
      <c r="R327" s="428"/>
      <c r="S327" s="428"/>
      <c r="T327" s="428"/>
      <c r="U327" s="428"/>
      <c r="V327" s="428"/>
    </row>
    <row r="328" spans="1:22" ht="18.75" customHeight="1" thickTop="1" thickBot="1" x14ac:dyDescent="0.3">
      <c r="A328" s="434">
        <v>1</v>
      </c>
      <c r="B328" s="425" t="s">
        <v>87</v>
      </c>
      <c r="C328" s="426"/>
      <c r="D328" s="426"/>
      <c r="E328" s="434"/>
      <c r="F328" s="426"/>
      <c r="G328" s="426"/>
      <c r="H328" s="426"/>
      <c r="I328" s="426"/>
      <c r="J328" s="427" t="s">
        <v>472</v>
      </c>
      <c r="K328" s="428"/>
      <c r="L328" s="428"/>
      <c r="M328" s="428"/>
      <c r="N328" s="428"/>
      <c r="O328" s="428"/>
      <c r="P328" s="428"/>
      <c r="Q328" s="428"/>
      <c r="R328" s="428"/>
      <c r="S328" s="428"/>
      <c r="T328" s="428"/>
      <c r="U328" s="428"/>
      <c r="V328" s="428"/>
    </row>
    <row r="329" spans="1:22" ht="18.75" customHeight="1" thickTop="1" thickBot="1" x14ac:dyDescent="0.3">
      <c r="A329" s="434">
        <v>1</v>
      </c>
      <c r="B329" s="425" t="s">
        <v>87</v>
      </c>
      <c r="C329" s="426" t="s">
        <v>71</v>
      </c>
      <c r="D329" s="426"/>
      <c r="E329" s="434"/>
      <c r="F329" s="426"/>
      <c r="G329" s="426"/>
      <c r="H329" s="426"/>
      <c r="I329" s="426"/>
      <c r="J329" s="427" t="s">
        <v>473</v>
      </c>
      <c r="K329" s="428"/>
      <c r="L329" s="428"/>
      <c r="M329" s="428"/>
      <c r="N329" s="428"/>
      <c r="O329" s="428"/>
      <c r="P329" s="428"/>
      <c r="Q329" s="428"/>
      <c r="R329" s="428"/>
      <c r="S329" s="428"/>
      <c r="T329" s="428"/>
      <c r="U329" s="428"/>
      <c r="V329" s="428"/>
    </row>
    <row r="330" spans="1:22" ht="18.75" customHeight="1" thickTop="1" thickBot="1" x14ac:dyDescent="0.3">
      <c r="A330" s="434">
        <v>1</v>
      </c>
      <c r="B330" s="425" t="s">
        <v>87</v>
      </c>
      <c r="C330" s="426" t="s">
        <v>71</v>
      </c>
      <c r="D330" s="426" t="s">
        <v>71</v>
      </c>
      <c r="E330" s="426"/>
      <c r="F330" s="426"/>
      <c r="G330" s="426"/>
      <c r="H330" s="426"/>
      <c r="I330" s="426"/>
      <c r="J330" s="431" t="s">
        <v>474</v>
      </c>
      <c r="K330" s="428"/>
      <c r="L330" s="428"/>
      <c r="M330" s="428"/>
      <c r="N330" s="428"/>
      <c r="O330" s="428"/>
      <c r="P330" s="428"/>
      <c r="Q330" s="428"/>
      <c r="R330" s="428"/>
      <c r="S330" s="428"/>
      <c r="T330" s="428"/>
      <c r="U330" s="428"/>
      <c r="V330" s="428"/>
    </row>
    <row r="331" spans="1:22" ht="18.75" customHeight="1" thickTop="1" thickBot="1" x14ac:dyDescent="0.3">
      <c r="A331" s="434">
        <v>1</v>
      </c>
      <c r="B331" s="425" t="s">
        <v>87</v>
      </c>
      <c r="C331" s="426" t="s">
        <v>71</v>
      </c>
      <c r="D331" s="426" t="s">
        <v>85</v>
      </c>
      <c r="E331" s="426"/>
      <c r="F331" s="426"/>
      <c r="G331" s="426"/>
      <c r="H331" s="426"/>
      <c r="I331" s="426"/>
      <c r="J331" s="431" t="s">
        <v>475</v>
      </c>
      <c r="K331" s="428"/>
      <c r="L331" s="428"/>
      <c r="M331" s="428"/>
      <c r="N331" s="428"/>
      <c r="O331" s="428"/>
      <c r="P331" s="428"/>
      <c r="Q331" s="428"/>
      <c r="R331" s="428"/>
      <c r="S331" s="428"/>
      <c r="T331" s="428"/>
      <c r="U331" s="428"/>
      <c r="V331" s="428"/>
    </row>
    <row r="332" spans="1:22" ht="18.75" customHeight="1" thickTop="1" thickBot="1" x14ac:dyDescent="0.3">
      <c r="A332" s="434">
        <v>1</v>
      </c>
      <c r="B332" s="425" t="s">
        <v>87</v>
      </c>
      <c r="C332" s="426" t="s">
        <v>71</v>
      </c>
      <c r="D332" s="426" t="s">
        <v>87</v>
      </c>
      <c r="E332" s="426"/>
      <c r="F332" s="426"/>
      <c r="G332" s="426"/>
      <c r="H332" s="426"/>
      <c r="I332" s="426"/>
      <c r="J332" s="431" t="s">
        <v>476</v>
      </c>
      <c r="K332" s="428"/>
      <c r="L332" s="428"/>
      <c r="M332" s="428"/>
      <c r="N332" s="428"/>
      <c r="O332" s="428"/>
      <c r="P332" s="428"/>
      <c r="Q332" s="428"/>
      <c r="R332" s="428"/>
      <c r="S332" s="428"/>
      <c r="T332" s="428"/>
      <c r="U332" s="428"/>
      <c r="V332" s="428"/>
    </row>
    <row r="333" spans="1:22" ht="18.75" customHeight="1" thickTop="1" thickBot="1" x14ac:dyDescent="0.3">
      <c r="A333" s="434">
        <v>1</v>
      </c>
      <c r="B333" s="425" t="s">
        <v>87</v>
      </c>
      <c r="C333" s="426" t="s">
        <v>85</v>
      </c>
      <c r="D333" s="426"/>
      <c r="E333" s="434"/>
      <c r="F333" s="426"/>
      <c r="G333" s="426"/>
      <c r="H333" s="426"/>
      <c r="I333" s="426"/>
      <c r="J333" s="427" t="s">
        <v>477</v>
      </c>
      <c r="K333" s="428"/>
      <c r="L333" s="428"/>
      <c r="M333" s="428"/>
      <c r="N333" s="428"/>
      <c r="O333" s="428"/>
      <c r="P333" s="428"/>
      <c r="Q333" s="428"/>
      <c r="R333" s="428"/>
      <c r="S333" s="428"/>
      <c r="T333" s="428"/>
      <c r="U333" s="428"/>
      <c r="V333" s="428"/>
    </row>
    <row r="334" spans="1:22" ht="18.75" customHeight="1" thickTop="1" thickBot="1" x14ac:dyDescent="0.3">
      <c r="A334" s="434">
        <v>1</v>
      </c>
      <c r="B334" s="425" t="s">
        <v>89</v>
      </c>
      <c r="C334" s="426"/>
      <c r="D334" s="426"/>
      <c r="E334" s="434"/>
      <c r="F334" s="426"/>
      <c r="G334" s="426"/>
      <c r="H334" s="426"/>
      <c r="I334" s="426"/>
      <c r="J334" s="427" t="s">
        <v>478</v>
      </c>
      <c r="K334" s="428"/>
      <c r="L334" s="428"/>
      <c r="M334" s="428"/>
      <c r="N334" s="428"/>
      <c r="O334" s="428"/>
      <c r="P334" s="428"/>
      <c r="Q334" s="428"/>
      <c r="R334" s="428"/>
      <c r="S334" s="428"/>
      <c r="T334" s="428"/>
      <c r="U334" s="428"/>
      <c r="V334" s="428"/>
    </row>
    <row r="335" spans="1:22" ht="18.75" customHeight="1" thickTop="1" thickBot="1" x14ac:dyDescent="0.3">
      <c r="A335" s="434" t="s">
        <v>67</v>
      </c>
      <c r="B335" s="425" t="s">
        <v>91</v>
      </c>
      <c r="C335" s="426"/>
      <c r="D335" s="426"/>
      <c r="E335" s="434"/>
      <c r="F335" s="426"/>
      <c r="G335" s="426"/>
      <c r="H335" s="426"/>
      <c r="I335" s="426"/>
      <c r="J335" s="491" t="s">
        <v>479</v>
      </c>
      <c r="K335" s="428"/>
      <c r="L335" s="428"/>
      <c r="M335" s="428"/>
      <c r="N335" s="428"/>
      <c r="O335" s="428"/>
      <c r="P335" s="428"/>
      <c r="Q335" s="428"/>
      <c r="R335" s="428"/>
      <c r="S335" s="428"/>
      <c r="T335" s="428"/>
      <c r="U335" s="428"/>
      <c r="V335" s="428"/>
    </row>
    <row r="336" spans="1:22" ht="18.75" customHeight="1" thickTop="1" thickBot="1" x14ac:dyDescent="0.3">
      <c r="A336" s="434" t="s">
        <v>67</v>
      </c>
      <c r="B336" s="425" t="s">
        <v>91</v>
      </c>
      <c r="C336" s="426" t="s">
        <v>71</v>
      </c>
      <c r="D336" s="426"/>
      <c r="E336" s="434"/>
      <c r="F336" s="426"/>
      <c r="G336" s="426"/>
      <c r="H336" s="426"/>
      <c r="I336" s="426"/>
      <c r="J336" s="491" t="s">
        <v>480</v>
      </c>
      <c r="K336" s="428"/>
      <c r="L336" s="428"/>
      <c r="M336" s="428"/>
      <c r="N336" s="428"/>
      <c r="O336" s="428"/>
      <c r="P336" s="428"/>
      <c r="Q336" s="428"/>
      <c r="R336" s="428"/>
      <c r="S336" s="428"/>
      <c r="T336" s="428"/>
      <c r="U336" s="428"/>
      <c r="V336" s="428"/>
    </row>
    <row r="337" spans="1:22" ht="18.75" customHeight="1" thickTop="1" thickBot="1" x14ac:dyDescent="0.3">
      <c r="A337" s="434" t="s">
        <v>67</v>
      </c>
      <c r="B337" s="425" t="s">
        <v>91</v>
      </c>
      <c r="C337" s="426" t="s">
        <v>71</v>
      </c>
      <c r="D337" s="426" t="s">
        <v>71</v>
      </c>
      <c r="E337" s="426"/>
      <c r="F337" s="426"/>
      <c r="G337" s="426"/>
      <c r="H337" s="426"/>
      <c r="I337" s="426"/>
      <c r="J337" s="431" t="s">
        <v>481</v>
      </c>
      <c r="K337" s="428"/>
      <c r="L337" s="428"/>
      <c r="M337" s="428"/>
      <c r="N337" s="428"/>
      <c r="O337" s="428"/>
      <c r="P337" s="428"/>
      <c r="Q337" s="428"/>
      <c r="R337" s="428"/>
      <c r="S337" s="428"/>
      <c r="T337" s="428"/>
      <c r="U337" s="428"/>
      <c r="V337" s="428"/>
    </row>
    <row r="338" spans="1:22" ht="18.75" customHeight="1" thickTop="1" thickBot="1" x14ac:dyDescent="0.3">
      <c r="A338" s="434" t="s">
        <v>67</v>
      </c>
      <c r="B338" s="425" t="s">
        <v>91</v>
      </c>
      <c r="C338" s="426" t="s">
        <v>71</v>
      </c>
      <c r="D338" s="426" t="s">
        <v>85</v>
      </c>
      <c r="E338" s="426"/>
      <c r="F338" s="426"/>
      <c r="G338" s="426"/>
      <c r="H338" s="426"/>
      <c r="I338" s="426"/>
      <c r="J338" s="431" t="s">
        <v>482</v>
      </c>
      <c r="K338" s="428"/>
      <c r="L338" s="428"/>
      <c r="M338" s="428"/>
      <c r="N338" s="428"/>
      <c r="O338" s="428"/>
      <c r="P338" s="428"/>
      <c r="Q338" s="428"/>
      <c r="R338" s="428"/>
      <c r="S338" s="428"/>
      <c r="T338" s="428"/>
      <c r="U338" s="428"/>
      <c r="V338" s="428"/>
    </row>
    <row r="339" spans="1:22" ht="18.75" customHeight="1" thickTop="1" thickBot="1" x14ac:dyDescent="0.3">
      <c r="A339" s="434" t="s">
        <v>67</v>
      </c>
      <c r="B339" s="425" t="s">
        <v>91</v>
      </c>
      <c r="C339" s="426" t="s">
        <v>71</v>
      </c>
      <c r="D339" s="426" t="s">
        <v>87</v>
      </c>
      <c r="E339" s="426"/>
      <c r="F339" s="426"/>
      <c r="G339" s="426"/>
      <c r="H339" s="426"/>
      <c r="I339" s="426"/>
      <c r="J339" s="431" t="s">
        <v>483</v>
      </c>
      <c r="K339" s="428"/>
      <c r="L339" s="428"/>
      <c r="M339" s="428"/>
      <c r="N339" s="428"/>
      <c r="O339" s="428"/>
      <c r="P339" s="428"/>
      <c r="Q339" s="428"/>
      <c r="R339" s="428"/>
      <c r="S339" s="428"/>
      <c r="T339" s="428"/>
      <c r="U339" s="428"/>
      <c r="V339" s="428"/>
    </row>
    <row r="340" spans="1:22" ht="18.75" customHeight="1" thickTop="1" thickBot="1" x14ac:dyDescent="0.3">
      <c r="A340" s="434" t="s">
        <v>67</v>
      </c>
      <c r="B340" s="425" t="s">
        <v>91</v>
      </c>
      <c r="C340" s="426" t="s">
        <v>85</v>
      </c>
      <c r="D340" s="426"/>
      <c r="E340" s="434"/>
      <c r="F340" s="426"/>
      <c r="G340" s="426"/>
      <c r="H340" s="426"/>
      <c r="I340" s="426"/>
      <c r="J340" s="492" t="s">
        <v>484</v>
      </c>
      <c r="K340" s="428"/>
      <c r="L340" s="428"/>
      <c r="M340" s="428"/>
      <c r="N340" s="428"/>
      <c r="O340" s="428"/>
      <c r="P340" s="428"/>
      <c r="Q340" s="428"/>
      <c r="R340" s="428"/>
      <c r="S340" s="428"/>
      <c r="T340" s="428"/>
      <c r="U340" s="428"/>
      <c r="V340" s="428"/>
    </row>
    <row r="341" spans="1:22" ht="18.75" customHeight="1" thickTop="1" thickBot="1" x14ac:dyDescent="0.3">
      <c r="A341" s="434" t="s">
        <v>67</v>
      </c>
      <c r="B341" s="425" t="s">
        <v>91</v>
      </c>
      <c r="C341" s="426" t="s">
        <v>87</v>
      </c>
      <c r="D341" s="426"/>
      <c r="E341" s="434"/>
      <c r="F341" s="426"/>
      <c r="G341" s="426"/>
      <c r="H341" s="426"/>
      <c r="I341" s="426"/>
      <c r="J341" s="492" t="s">
        <v>485</v>
      </c>
      <c r="K341" s="428"/>
      <c r="L341" s="428"/>
      <c r="M341" s="428"/>
      <c r="N341" s="428"/>
      <c r="O341" s="428"/>
      <c r="P341" s="428"/>
      <c r="Q341" s="428"/>
      <c r="R341" s="428"/>
      <c r="S341" s="428"/>
      <c r="T341" s="428"/>
      <c r="U341" s="428"/>
      <c r="V341" s="428"/>
    </row>
    <row r="342" spans="1:22" ht="36" customHeight="1" thickTop="1" thickBot="1" x14ac:dyDescent="0.3">
      <c r="A342" s="434"/>
      <c r="B342" s="425"/>
    </row>
    <row r="343" spans="1:22" ht="36" customHeight="1" thickTop="1" x14ac:dyDescent="0.25"/>
  </sheetData>
  <mergeCells count="16">
    <mergeCell ref="U5:U6"/>
    <mergeCell ref="V5:V6"/>
    <mergeCell ref="W5:W6"/>
    <mergeCell ref="X5:X6"/>
    <mergeCell ref="A1:V1"/>
    <mergeCell ref="A2:V2"/>
    <mergeCell ref="A3:V3"/>
    <mergeCell ref="A4:V4"/>
    <mergeCell ref="A5:I5"/>
    <mergeCell ref="J5:J6"/>
    <mergeCell ref="K5:K6"/>
    <mergeCell ref="L5:M5"/>
    <mergeCell ref="N5:N6"/>
    <mergeCell ref="O5:R5"/>
    <mergeCell ref="S5:S6"/>
    <mergeCell ref="T5:T6"/>
  </mergeCells>
  <phoneticPr fontId="42" type="noConversion"/>
  <printOptions horizontalCentered="1" verticalCentered="1"/>
  <pageMargins left="0.78740157480314965" right="0.78740157480314965" top="0.98425196850393704" bottom="0.98425196850393704"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B19"/>
  <sheetViews>
    <sheetView workbookViewId="0">
      <selection activeCell="E8" sqref="E8"/>
    </sheetView>
  </sheetViews>
  <sheetFormatPr baseColWidth="10" defaultColWidth="11.42578125" defaultRowHeight="12.75" x14ac:dyDescent="0.25"/>
  <cols>
    <col min="1" max="1" width="34.140625" style="461" customWidth="1"/>
    <col min="2" max="2" width="70.5703125" style="461" customWidth="1"/>
    <col min="3" max="16384" width="11.42578125" style="461"/>
  </cols>
  <sheetData>
    <row r="1" spans="1:2" ht="13.5" thickBot="1" x14ac:dyDescent="0.3">
      <c r="A1" s="862"/>
      <c r="B1" s="862"/>
    </row>
    <row r="2" spans="1:2" ht="13.5" thickBot="1" x14ac:dyDescent="0.3">
      <c r="A2" s="863" t="s">
        <v>486</v>
      </c>
      <c r="B2" s="864"/>
    </row>
    <row r="3" spans="1:2" ht="13.5" thickBot="1" x14ac:dyDescent="0.3">
      <c r="A3" s="865" t="s">
        <v>487</v>
      </c>
      <c r="B3" s="866"/>
    </row>
    <row r="4" spans="1:2" ht="13.5" thickBot="1" x14ac:dyDescent="0.3">
      <c r="A4" s="462" t="s">
        <v>488</v>
      </c>
      <c r="B4" s="462" t="s">
        <v>489</v>
      </c>
    </row>
    <row r="5" spans="1:2" ht="26.25" thickBot="1" x14ac:dyDescent="0.3">
      <c r="A5" s="463" t="s">
        <v>490</v>
      </c>
      <c r="B5" s="464" t="s">
        <v>491</v>
      </c>
    </row>
    <row r="6" spans="1:2" ht="14.25" thickTop="1" thickBot="1" x14ac:dyDescent="0.3">
      <c r="A6" s="465" t="s">
        <v>492</v>
      </c>
      <c r="B6" s="464" t="s">
        <v>493</v>
      </c>
    </row>
    <row r="7" spans="1:2" ht="27" thickTop="1" thickBot="1" x14ac:dyDescent="0.3">
      <c r="A7" s="465" t="s">
        <v>494</v>
      </c>
      <c r="B7" s="466" t="s">
        <v>495</v>
      </c>
    </row>
    <row r="8" spans="1:2" ht="52.5" thickTop="1" thickBot="1" x14ac:dyDescent="0.3">
      <c r="A8" s="465" t="s">
        <v>496</v>
      </c>
      <c r="B8" s="464" t="s">
        <v>497</v>
      </c>
    </row>
    <row r="9" spans="1:2" ht="52.5" thickTop="1" thickBot="1" x14ac:dyDescent="0.3">
      <c r="A9" s="467" t="s">
        <v>498</v>
      </c>
      <c r="B9" s="464" t="s">
        <v>499</v>
      </c>
    </row>
    <row r="10" spans="1:2" ht="27" thickTop="1" thickBot="1" x14ac:dyDescent="0.3">
      <c r="A10" s="467" t="s">
        <v>500</v>
      </c>
      <c r="B10" s="464" t="s">
        <v>501</v>
      </c>
    </row>
    <row r="11" spans="1:2" ht="27" thickTop="1" thickBot="1" x14ac:dyDescent="0.3">
      <c r="A11" s="468" t="s">
        <v>502</v>
      </c>
      <c r="B11" s="466" t="s">
        <v>503</v>
      </c>
    </row>
    <row r="12" spans="1:2" ht="27" thickTop="1" thickBot="1" x14ac:dyDescent="0.3">
      <c r="A12" s="465" t="s">
        <v>504</v>
      </c>
      <c r="B12" s="466" t="s">
        <v>505</v>
      </c>
    </row>
    <row r="13" spans="1:2" ht="90.75" thickTop="1" thickBot="1" x14ac:dyDescent="0.3">
      <c r="A13" s="468" t="s">
        <v>506</v>
      </c>
      <c r="B13" s="464" t="s">
        <v>507</v>
      </c>
    </row>
    <row r="14" spans="1:2" ht="39.75" thickTop="1" thickBot="1" x14ac:dyDescent="0.3">
      <c r="A14" s="468" t="s">
        <v>508</v>
      </c>
      <c r="B14" s="464" t="s">
        <v>509</v>
      </c>
    </row>
    <row r="15" spans="1:2" ht="78" thickTop="1" thickBot="1" x14ac:dyDescent="0.3">
      <c r="A15" s="469" t="s">
        <v>510</v>
      </c>
      <c r="B15" s="466" t="s">
        <v>511</v>
      </c>
    </row>
    <row r="16" spans="1:2" ht="14.25" thickTop="1" thickBot="1" x14ac:dyDescent="0.3">
      <c r="A16" s="465" t="s">
        <v>512</v>
      </c>
      <c r="B16" s="466" t="s">
        <v>513</v>
      </c>
    </row>
    <row r="17" spans="1:2" ht="27" thickTop="1" thickBot="1" x14ac:dyDescent="0.3">
      <c r="A17" s="470" t="s">
        <v>514</v>
      </c>
      <c r="B17" s="466" t="s">
        <v>515</v>
      </c>
    </row>
    <row r="18" spans="1:2" ht="27" thickTop="1" thickBot="1" x14ac:dyDescent="0.3">
      <c r="A18" s="465" t="s">
        <v>516</v>
      </c>
      <c r="B18" s="471" t="s">
        <v>517</v>
      </c>
    </row>
    <row r="19" spans="1:2" ht="13.5" thickTop="1" x14ac:dyDescent="0.25"/>
  </sheetData>
  <mergeCells count="3">
    <mergeCell ref="A1:B1"/>
    <mergeCell ref="A2:B2"/>
    <mergeCell ref="A3:B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D3E4C-AABD-45C4-9242-9A4E6321C0A3}">
  <dimension ref="A1:R62"/>
  <sheetViews>
    <sheetView workbookViewId="0">
      <selection activeCell="C11" sqref="C11"/>
    </sheetView>
  </sheetViews>
  <sheetFormatPr baseColWidth="10" defaultColWidth="11.42578125" defaultRowHeight="15" x14ac:dyDescent="0.25"/>
  <cols>
    <col min="1" max="1" width="5.85546875" customWidth="1"/>
    <col min="2" max="2" width="44.28515625" customWidth="1"/>
    <col min="3" max="3" width="68.5703125" customWidth="1"/>
    <col min="7" max="7" width="11.42578125" hidden="1" customWidth="1"/>
    <col min="8" max="8" width="15.5703125" hidden="1" customWidth="1"/>
    <col min="9" max="9" width="11.42578125" hidden="1" customWidth="1"/>
    <col min="10" max="11" width="0" hidden="1" customWidth="1"/>
  </cols>
  <sheetData>
    <row r="1" spans="1:18" s="380" customFormat="1" ht="97.5" customHeight="1" thickBot="1" x14ac:dyDescent="0.3">
      <c r="A1" s="504"/>
      <c r="B1" s="505"/>
      <c r="C1" s="506"/>
      <c r="D1"/>
      <c r="E1"/>
      <c r="F1"/>
      <c r="G1"/>
      <c r="H1"/>
      <c r="I1"/>
      <c r="J1"/>
      <c r="K1"/>
      <c r="L1"/>
      <c r="M1"/>
      <c r="N1"/>
      <c r="O1"/>
      <c r="P1"/>
      <c r="Q1"/>
      <c r="R1"/>
    </row>
    <row r="2" spans="1:18" s="381" customFormat="1" ht="39.75" customHeight="1" thickBot="1" x14ac:dyDescent="0.3">
      <c r="A2" s="867" t="s">
        <v>518</v>
      </c>
      <c r="B2" s="868"/>
      <c r="C2" s="869"/>
      <c r="D2"/>
      <c r="E2"/>
      <c r="F2"/>
      <c r="G2"/>
      <c r="H2"/>
      <c r="I2"/>
      <c r="J2"/>
      <c r="K2"/>
      <c r="L2"/>
      <c r="M2"/>
      <c r="N2"/>
      <c r="O2"/>
      <c r="P2"/>
      <c r="Q2"/>
      <c r="R2"/>
    </row>
    <row r="4" spans="1:18" ht="15.75" thickBot="1" x14ac:dyDescent="0.3"/>
    <row r="5" spans="1:18" s="382" customFormat="1" ht="23.25" customHeight="1" x14ac:dyDescent="0.25">
      <c r="B5" s="383" t="s">
        <v>519</v>
      </c>
      <c r="C5" s="384" t="s">
        <v>542</v>
      </c>
      <c r="H5" s="382" t="s">
        <v>520</v>
      </c>
    </row>
    <row r="6" spans="1:18" s="382" customFormat="1" ht="23.25" customHeight="1" x14ac:dyDescent="0.25">
      <c r="B6" s="385" t="s">
        <v>521</v>
      </c>
      <c r="C6" s="386" t="s">
        <v>576</v>
      </c>
      <c r="H6" s="382" t="s">
        <v>522</v>
      </c>
    </row>
    <row r="7" spans="1:18" s="382" customFormat="1" ht="23.25" customHeight="1" x14ac:dyDescent="0.25">
      <c r="B7" s="385" t="s">
        <v>523</v>
      </c>
      <c r="C7" s="386" t="s">
        <v>1925</v>
      </c>
      <c r="H7" s="382" t="s">
        <v>524</v>
      </c>
    </row>
    <row r="8" spans="1:18" s="382" customFormat="1" ht="23.25" customHeight="1" x14ac:dyDescent="0.25">
      <c r="B8" s="385" t="s">
        <v>525</v>
      </c>
      <c r="C8" s="386" t="s">
        <v>1924</v>
      </c>
      <c r="H8" s="382" t="s">
        <v>526</v>
      </c>
    </row>
    <row r="9" spans="1:18" s="382" customFormat="1" ht="23.25" customHeight="1" x14ac:dyDescent="0.25">
      <c r="B9" s="385" t="s">
        <v>527</v>
      </c>
      <c r="C9" s="386" t="s">
        <v>1926</v>
      </c>
      <c r="H9" s="382" t="s">
        <v>528</v>
      </c>
    </row>
    <row r="10" spans="1:18" s="382" customFormat="1" ht="23.25" customHeight="1" x14ac:dyDescent="0.25">
      <c r="B10" s="385" t="s">
        <v>529</v>
      </c>
      <c r="C10" s="597" t="s">
        <v>1927</v>
      </c>
      <c r="H10" s="382" t="s">
        <v>530</v>
      </c>
    </row>
    <row r="11" spans="1:18" s="382" customFormat="1" ht="23.25" customHeight="1" thickBot="1" x14ac:dyDescent="0.3">
      <c r="B11" s="387" t="s">
        <v>531</v>
      </c>
      <c r="C11" s="388">
        <v>6055748960</v>
      </c>
      <c r="H11" s="382" t="s">
        <v>532</v>
      </c>
    </row>
    <row r="12" spans="1:18" x14ac:dyDescent="0.25">
      <c r="H12" t="s">
        <v>533</v>
      </c>
    </row>
    <row r="13" spans="1:18" x14ac:dyDescent="0.25">
      <c r="H13" t="s">
        <v>534</v>
      </c>
    </row>
    <row r="14" spans="1:18" x14ac:dyDescent="0.25">
      <c r="H14" t="s">
        <v>535</v>
      </c>
    </row>
    <row r="15" spans="1:18" x14ac:dyDescent="0.25">
      <c r="H15" t="s">
        <v>536</v>
      </c>
    </row>
    <row r="16" spans="1:18" x14ac:dyDescent="0.25">
      <c r="H16" t="s">
        <v>537</v>
      </c>
    </row>
    <row r="17" spans="8:8" x14ac:dyDescent="0.25">
      <c r="H17" t="s">
        <v>538</v>
      </c>
    </row>
    <row r="18" spans="8:8" x14ac:dyDescent="0.25">
      <c r="H18" t="s">
        <v>539</v>
      </c>
    </row>
    <row r="19" spans="8:8" x14ac:dyDescent="0.25">
      <c r="H19" t="s">
        <v>540</v>
      </c>
    </row>
    <row r="20" spans="8:8" x14ac:dyDescent="0.25">
      <c r="H20" t="s">
        <v>541</v>
      </c>
    </row>
    <row r="21" spans="8:8" x14ac:dyDescent="0.25">
      <c r="H21" t="s">
        <v>542</v>
      </c>
    </row>
    <row r="22" spans="8:8" x14ac:dyDescent="0.25">
      <c r="H22" t="s">
        <v>543</v>
      </c>
    </row>
    <row r="23" spans="8:8" x14ac:dyDescent="0.25">
      <c r="H23" t="s">
        <v>544</v>
      </c>
    </row>
    <row r="24" spans="8:8" x14ac:dyDescent="0.25">
      <c r="H24" t="s">
        <v>545</v>
      </c>
    </row>
    <row r="25" spans="8:8" x14ac:dyDescent="0.25">
      <c r="H25" t="s">
        <v>546</v>
      </c>
    </row>
    <row r="26" spans="8:8" x14ac:dyDescent="0.25">
      <c r="H26" t="s">
        <v>547</v>
      </c>
    </row>
    <row r="27" spans="8:8" x14ac:dyDescent="0.25">
      <c r="H27" t="s">
        <v>548</v>
      </c>
    </row>
    <row r="28" spans="8:8" x14ac:dyDescent="0.25">
      <c r="H28" t="s">
        <v>549</v>
      </c>
    </row>
    <row r="29" spans="8:8" x14ac:dyDescent="0.25">
      <c r="H29" t="s">
        <v>550</v>
      </c>
    </row>
    <row r="30" spans="8:8" x14ac:dyDescent="0.25">
      <c r="H30" t="s">
        <v>551</v>
      </c>
    </row>
    <row r="31" spans="8:8" x14ac:dyDescent="0.25">
      <c r="H31" t="s">
        <v>552</v>
      </c>
    </row>
    <row r="32" spans="8:8" x14ac:dyDescent="0.25">
      <c r="H32" t="s">
        <v>553</v>
      </c>
    </row>
    <row r="33" spans="8:8" x14ac:dyDescent="0.25">
      <c r="H33" t="s">
        <v>554</v>
      </c>
    </row>
    <row r="34" spans="8:8" x14ac:dyDescent="0.25">
      <c r="H34" t="s">
        <v>555</v>
      </c>
    </row>
    <row r="35" spans="8:8" x14ac:dyDescent="0.25">
      <c r="H35" t="s">
        <v>556</v>
      </c>
    </row>
    <row r="36" spans="8:8" x14ac:dyDescent="0.25">
      <c r="H36" t="s">
        <v>557</v>
      </c>
    </row>
    <row r="37" spans="8:8" x14ac:dyDescent="0.25">
      <c r="H37" t="s">
        <v>558</v>
      </c>
    </row>
    <row r="39" spans="8:8" x14ac:dyDescent="0.25">
      <c r="H39" t="s">
        <v>559</v>
      </c>
    </row>
    <row r="40" spans="8:8" x14ac:dyDescent="0.25">
      <c r="H40" t="s">
        <v>560</v>
      </c>
    </row>
    <row r="41" spans="8:8" x14ac:dyDescent="0.25">
      <c r="H41" t="s">
        <v>561</v>
      </c>
    </row>
    <row r="42" spans="8:8" x14ac:dyDescent="0.25">
      <c r="H42" t="s">
        <v>562</v>
      </c>
    </row>
    <row r="43" spans="8:8" x14ac:dyDescent="0.25">
      <c r="H43" t="s">
        <v>563</v>
      </c>
    </row>
    <row r="44" spans="8:8" x14ac:dyDescent="0.25">
      <c r="H44" t="s">
        <v>564</v>
      </c>
    </row>
    <row r="45" spans="8:8" x14ac:dyDescent="0.25">
      <c r="H45" t="s">
        <v>565</v>
      </c>
    </row>
    <row r="46" spans="8:8" x14ac:dyDescent="0.25">
      <c r="H46" t="s">
        <v>566</v>
      </c>
    </row>
    <row r="47" spans="8:8" x14ac:dyDescent="0.25">
      <c r="H47" t="s">
        <v>567</v>
      </c>
    </row>
    <row r="48" spans="8:8" x14ac:dyDescent="0.25">
      <c r="H48" t="s">
        <v>568</v>
      </c>
    </row>
    <row r="49" spans="8:8" x14ac:dyDescent="0.25">
      <c r="H49" t="s">
        <v>569</v>
      </c>
    </row>
    <row r="50" spans="8:8" x14ac:dyDescent="0.25">
      <c r="H50" t="s">
        <v>570</v>
      </c>
    </row>
    <row r="51" spans="8:8" x14ac:dyDescent="0.25">
      <c r="H51" t="s">
        <v>571</v>
      </c>
    </row>
    <row r="52" spans="8:8" x14ac:dyDescent="0.25">
      <c r="H52" t="s">
        <v>572</v>
      </c>
    </row>
    <row r="53" spans="8:8" x14ac:dyDescent="0.25">
      <c r="H53" t="s">
        <v>573</v>
      </c>
    </row>
    <row r="54" spans="8:8" x14ac:dyDescent="0.25">
      <c r="H54" t="s">
        <v>574</v>
      </c>
    </row>
    <row r="55" spans="8:8" x14ac:dyDescent="0.25">
      <c r="H55" t="s">
        <v>575</v>
      </c>
    </row>
    <row r="56" spans="8:8" x14ac:dyDescent="0.25">
      <c r="H56" t="s">
        <v>576</v>
      </c>
    </row>
    <row r="57" spans="8:8" x14ac:dyDescent="0.25">
      <c r="H57" t="s">
        <v>577</v>
      </c>
    </row>
    <row r="58" spans="8:8" x14ac:dyDescent="0.25">
      <c r="H58" t="s">
        <v>578</v>
      </c>
    </row>
    <row r="59" spans="8:8" x14ac:dyDescent="0.25">
      <c r="H59" t="s">
        <v>579</v>
      </c>
    </row>
    <row r="60" spans="8:8" x14ac:dyDescent="0.25">
      <c r="H60" t="s">
        <v>580</v>
      </c>
    </row>
    <row r="61" spans="8:8" x14ac:dyDescent="0.25">
      <c r="H61" t="s">
        <v>581</v>
      </c>
    </row>
    <row r="62" spans="8:8" x14ac:dyDescent="0.25">
      <c r="H62" t="s">
        <v>582</v>
      </c>
    </row>
  </sheetData>
  <mergeCells count="1">
    <mergeCell ref="A2:C2"/>
  </mergeCells>
  <dataValidations count="2">
    <dataValidation type="list" allowBlank="1" showInputMessage="1" showErrorMessage="1" prompt="Seleccione el perido a reportar" sqref="C6" xr:uid="{109BB42D-9B12-42CF-A8A0-F63D7AE82692}">
      <formula1>$H$39:$H$62</formula1>
    </dataValidation>
    <dataValidation type="list" allowBlank="1" showInputMessage="1" showErrorMessage="1" prompt="Seleccione la CAR de la cual incorporara la información" sqref="C5" xr:uid="{5DC1BC87-629F-49DA-A940-FBC77440F1FB}">
      <formula1>Lista_CAR</formula1>
    </dataValidation>
  </dataValidations>
  <hyperlinks>
    <hyperlink ref="C10" r:id="rId1" xr:uid="{F8988E41-F2F6-4BEA-AD6F-9E401406407A}"/>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8"/>
  <dimension ref="A1:C28"/>
  <sheetViews>
    <sheetView showGridLines="0" zoomScale="98" zoomScaleNormal="98" workbookViewId="0"/>
  </sheetViews>
  <sheetFormatPr baseColWidth="10" defaultColWidth="11.42578125" defaultRowHeight="15" x14ac:dyDescent="0.25"/>
  <cols>
    <col min="1" max="1" width="8.140625" bestFit="1" customWidth="1"/>
    <col min="2" max="2" width="12.85546875" bestFit="1" customWidth="1"/>
    <col min="3" max="3" width="68.85546875" customWidth="1"/>
  </cols>
  <sheetData>
    <row r="1" spans="1:3" x14ac:dyDescent="0.25">
      <c r="A1" s="377" t="s">
        <v>631</v>
      </c>
    </row>
    <row r="3" spans="1:3" x14ac:dyDescent="0.25">
      <c r="B3" s="174" t="s">
        <v>1829</v>
      </c>
    </row>
    <row r="5" spans="1:3" x14ac:dyDescent="0.25">
      <c r="B5" s="131"/>
      <c r="C5" s="173"/>
    </row>
    <row r="6" spans="1:3" x14ac:dyDescent="0.25">
      <c r="A6" s="159" t="s">
        <v>1830</v>
      </c>
      <c r="B6" s="159" t="s">
        <v>586</v>
      </c>
      <c r="C6" s="159" t="s">
        <v>1831</v>
      </c>
    </row>
    <row r="7" spans="1:3" x14ac:dyDescent="0.25">
      <c r="A7" s="375"/>
      <c r="B7" s="375"/>
      <c r="C7" s="376"/>
    </row>
    <row r="8" spans="1:3" x14ac:dyDescent="0.25">
      <c r="A8" s="375"/>
      <c r="B8" s="375"/>
      <c r="C8" s="376"/>
    </row>
    <row r="9" spans="1:3" x14ac:dyDescent="0.25">
      <c r="A9" s="375"/>
      <c r="B9" s="375"/>
      <c r="C9" s="376"/>
    </row>
    <row r="10" spans="1:3" x14ac:dyDescent="0.25">
      <c r="A10" s="375"/>
      <c r="B10" s="375"/>
      <c r="C10" s="376"/>
    </row>
    <row r="11" spans="1:3" x14ac:dyDescent="0.25">
      <c r="A11" s="375"/>
      <c r="B11" s="375"/>
      <c r="C11" s="376"/>
    </row>
    <row r="12" spans="1:3" x14ac:dyDescent="0.25">
      <c r="A12" s="375"/>
      <c r="B12" s="375"/>
      <c r="C12" s="376"/>
    </row>
    <row r="13" spans="1:3" x14ac:dyDescent="0.25">
      <c r="A13" s="375"/>
      <c r="B13" s="375"/>
      <c r="C13" s="376"/>
    </row>
    <row r="14" spans="1:3" x14ac:dyDescent="0.25">
      <c r="A14" s="375"/>
      <c r="B14" s="375"/>
      <c r="C14" s="376"/>
    </row>
    <row r="15" spans="1:3" x14ac:dyDescent="0.25">
      <c r="A15" s="375"/>
      <c r="B15" s="375"/>
      <c r="C15" s="376"/>
    </row>
    <row r="16" spans="1:3" x14ac:dyDescent="0.25">
      <c r="A16" s="375"/>
      <c r="B16" s="375"/>
      <c r="C16" s="376"/>
    </row>
    <row r="17" spans="1:3" x14ac:dyDescent="0.25">
      <c r="A17" s="375"/>
      <c r="B17" s="375"/>
      <c r="C17" s="376"/>
    </row>
    <row r="18" spans="1:3" x14ac:dyDescent="0.25">
      <c r="A18" s="375"/>
      <c r="B18" s="375"/>
      <c r="C18" s="376"/>
    </row>
    <row r="19" spans="1:3" x14ac:dyDescent="0.25">
      <c r="A19" s="375"/>
      <c r="B19" s="375"/>
      <c r="C19" s="376"/>
    </row>
    <row r="20" spans="1:3" x14ac:dyDescent="0.25">
      <c r="A20" s="375"/>
      <c r="B20" s="375"/>
      <c r="C20" s="376"/>
    </row>
    <row r="21" spans="1:3" x14ac:dyDescent="0.25">
      <c r="A21" s="375"/>
      <c r="B21" s="375"/>
      <c r="C21" s="376"/>
    </row>
    <row r="22" spans="1:3" x14ac:dyDescent="0.25">
      <c r="A22" s="375"/>
      <c r="B22" s="375"/>
      <c r="C22" s="376"/>
    </row>
    <row r="23" spans="1:3" x14ac:dyDescent="0.25">
      <c r="A23" s="375"/>
      <c r="B23" s="375"/>
      <c r="C23" s="376"/>
    </row>
    <row r="24" spans="1:3" x14ac:dyDescent="0.25">
      <c r="A24" s="375"/>
      <c r="B24" s="375"/>
      <c r="C24" s="376"/>
    </row>
    <row r="25" spans="1:3" x14ac:dyDescent="0.25">
      <c r="A25" s="375"/>
      <c r="B25" s="375"/>
      <c r="C25" s="376"/>
    </row>
    <row r="26" spans="1:3" x14ac:dyDescent="0.25">
      <c r="A26" s="375"/>
      <c r="B26" s="375"/>
      <c r="C26" s="376"/>
    </row>
    <row r="27" spans="1:3" x14ac:dyDescent="0.25">
      <c r="A27" s="375"/>
      <c r="B27" s="375"/>
      <c r="C27" s="376"/>
    </row>
    <row r="28" spans="1:3" x14ac:dyDescent="0.25">
      <c r="A28" s="375"/>
      <c r="B28" s="375"/>
      <c r="C28" s="376"/>
    </row>
  </sheetData>
  <sheetProtection algorithmName="SHA-512" hashValue="LsnBJXmF304FiPr1vA0a5rRfeZFGbgpnlSc9fTyRIFlPev88PLUPhKsvVS+n3OoPIPMczgV6lZGm4lrL5GD64A==" saltValue="gNzDjeN2t6lPfjcwAmMMFw==" spinCount="100000" sheet="1" objects="1" scenarios="1" insertHyperlinks="0" selectLockedCells="1"/>
  <hyperlinks>
    <hyperlink ref="A1" location="'ANEXO 3'!A1" display="VOLVER AL INDICE" xr:uid="{00000000-0004-0000-2400-000000000000}"/>
  </hyperlinks>
  <pageMargins left="0.7" right="0.7" top="0.75" bottom="0.75" header="0.3" footer="0.3"/>
  <pageSetup paperSize="178"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A7A82-532A-442F-AB5A-A9B85483B788}">
  <sheetPr>
    <pageSetUpPr fitToPage="1"/>
  </sheetPr>
  <dimension ref="A1:B35"/>
  <sheetViews>
    <sheetView zoomScale="110" zoomScaleNormal="110" workbookViewId="0">
      <selection activeCell="A39" sqref="A39"/>
    </sheetView>
  </sheetViews>
  <sheetFormatPr baseColWidth="10" defaultColWidth="11.42578125" defaultRowHeight="12.75" x14ac:dyDescent="0.25"/>
  <cols>
    <col min="1" max="1" width="47.42578125" style="589" customWidth="1"/>
    <col min="2" max="2" width="84.140625" style="589" customWidth="1"/>
    <col min="3" max="16384" width="11.42578125" style="589"/>
  </cols>
  <sheetData>
    <row r="1" spans="1:2" ht="130.5" customHeight="1" thickBot="1" x14ac:dyDescent="0.3">
      <c r="A1" s="870"/>
      <c r="B1" s="870"/>
    </row>
    <row r="2" spans="1:2" ht="27" customHeight="1" thickBot="1" x14ac:dyDescent="0.3">
      <c r="A2" s="871" t="s">
        <v>1863</v>
      </c>
      <c r="B2" s="872"/>
    </row>
    <row r="3" spans="1:2" ht="24.75" customHeight="1" thickBot="1" x14ac:dyDescent="0.3">
      <c r="A3" s="873" t="s">
        <v>487</v>
      </c>
      <c r="B3" s="874"/>
    </row>
    <row r="4" spans="1:2" x14ac:dyDescent="0.25">
      <c r="A4" s="590" t="s">
        <v>1864</v>
      </c>
      <c r="B4" s="590" t="s">
        <v>489</v>
      </c>
    </row>
    <row r="5" spans="1:2" ht="18" x14ac:dyDescent="0.25">
      <c r="A5" s="591" t="s">
        <v>1865</v>
      </c>
      <c r="B5" s="592" t="s">
        <v>1866</v>
      </c>
    </row>
    <row r="6" spans="1:2" x14ac:dyDescent="0.25">
      <c r="A6" s="591" t="s">
        <v>1835</v>
      </c>
      <c r="B6" s="592" t="s">
        <v>1867</v>
      </c>
    </row>
    <row r="7" spans="1:2" ht="34.5" customHeight="1" x14ac:dyDescent="0.25">
      <c r="A7" s="591" t="s">
        <v>1868</v>
      </c>
      <c r="B7" s="592" t="s">
        <v>1869</v>
      </c>
    </row>
    <row r="8" spans="1:2" ht="39.75" customHeight="1" x14ac:dyDescent="0.25">
      <c r="A8" s="591" t="s">
        <v>1870</v>
      </c>
      <c r="B8" s="592" t="s">
        <v>1871</v>
      </c>
    </row>
    <row r="9" spans="1:2" ht="32.25" customHeight="1" x14ac:dyDescent="0.25">
      <c r="A9" s="591" t="s">
        <v>1872</v>
      </c>
      <c r="B9" s="592" t="s">
        <v>1873</v>
      </c>
    </row>
    <row r="10" spans="1:2" ht="32.25" customHeight="1" x14ac:dyDescent="0.25">
      <c r="A10" s="591" t="s">
        <v>1874</v>
      </c>
      <c r="B10" s="592" t="s">
        <v>1875</v>
      </c>
    </row>
    <row r="11" spans="1:2" ht="57.75" customHeight="1" x14ac:dyDescent="0.25">
      <c r="A11" s="591" t="s">
        <v>1876</v>
      </c>
      <c r="B11" s="592" t="s">
        <v>1877</v>
      </c>
    </row>
    <row r="12" spans="1:2" ht="21" customHeight="1" x14ac:dyDescent="0.25">
      <c r="A12" s="591" t="s">
        <v>1878</v>
      </c>
      <c r="B12" s="592" t="s">
        <v>1879</v>
      </c>
    </row>
    <row r="13" spans="1:2" ht="21" customHeight="1" x14ac:dyDescent="0.25">
      <c r="A13" s="591" t="s">
        <v>1842</v>
      </c>
      <c r="B13" s="592" t="s">
        <v>1880</v>
      </c>
    </row>
    <row r="14" spans="1:2" ht="21.75" customHeight="1" x14ac:dyDescent="0.25">
      <c r="A14" s="591" t="s">
        <v>1881</v>
      </c>
      <c r="B14" s="592" t="s">
        <v>1882</v>
      </c>
    </row>
    <row r="15" spans="1:2" ht="21.75" customHeight="1" x14ac:dyDescent="0.25">
      <c r="A15" s="591" t="s">
        <v>1883</v>
      </c>
      <c r="B15" s="592" t="s">
        <v>1884</v>
      </c>
    </row>
    <row r="16" spans="1:2" ht="21" customHeight="1" x14ac:dyDescent="0.25">
      <c r="A16" s="591" t="s">
        <v>1885</v>
      </c>
      <c r="B16" s="592" t="s">
        <v>1886</v>
      </c>
    </row>
    <row r="17" spans="1:2" ht="85.5" customHeight="1" x14ac:dyDescent="0.25">
      <c r="A17" s="591" t="s">
        <v>1887</v>
      </c>
      <c r="B17" s="593" t="s">
        <v>1888</v>
      </c>
    </row>
    <row r="18" spans="1:2" ht="36.75" customHeight="1" x14ac:dyDescent="0.25">
      <c r="A18" s="591" t="s">
        <v>1889</v>
      </c>
      <c r="B18" s="592" t="s">
        <v>1890</v>
      </c>
    </row>
    <row r="19" spans="1:2" ht="30" customHeight="1" x14ac:dyDescent="0.25">
      <c r="A19" s="591" t="s">
        <v>1891</v>
      </c>
      <c r="B19" s="594" t="s">
        <v>1892</v>
      </c>
    </row>
    <row r="20" spans="1:2" ht="39" customHeight="1" x14ac:dyDescent="0.25">
      <c r="A20" s="591" t="s">
        <v>1893</v>
      </c>
      <c r="B20" s="592" t="s">
        <v>1894</v>
      </c>
    </row>
    <row r="21" spans="1:2" ht="22.5" customHeight="1" x14ac:dyDescent="0.25">
      <c r="A21" s="591" t="s">
        <v>1895</v>
      </c>
      <c r="B21" s="592" t="s">
        <v>1896</v>
      </c>
    </row>
    <row r="22" spans="1:2" ht="37.5" customHeight="1" x14ac:dyDescent="0.25">
      <c r="A22" s="591" t="s">
        <v>1850</v>
      </c>
      <c r="B22" s="592" t="s">
        <v>1897</v>
      </c>
    </row>
    <row r="23" spans="1:2" ht="22.5" customHeight="1" x14ac:dyDescent="0.25">
      <c r="A23" s="591" t="s">
        <v>1898</v>
      </c>
      <c r="B23" s="592" t="s">
        <v>1899</v>
      </c>
    </row>
    <row r="24" spans="1:2" ht="27" customHeight="1" x14ac:dyDescent="0.25">
      <c r="A24" s="591" t="s">
        <v>1900</v>
      </c>
      <c r="B24" s="592" t="s">
        <v>1901</v>
      </c>
    </row>
    <row r="25" spans="1:2" ht="27" customHeight="1" x14ac:dyDescent="0.25">
      <c r="A25" s="591" t="s">
        <v>1902</v>
      </c>
      <c r="B25" s="592" t="s">
        <v>1903</v>
      </c>
    </row>
    <row r="26" spans="1:2" ht="22.5" customHeight="1" x14ac:dyDescent="0.25">
      <c r="A26" s="591" t="s">
        <v>1904</v>
      </c>
      <c r="B26" s="592" t="s">
        <v>1905</v>
      </c>
    </row>
    <row r="27" spans="1:2" ht="21.75" customHeight="1" x14ac:dyDescent="0.25">
      <c r="A27" s="591" t="s">
        <v>1906</v>
      </c>
      <c r="B27" s="592" t="s">
        <v>1907</v>
      </c>
    </row>
    <row r="28" spans="1:2" ht="25.5" customHeight="1" x14ac:dyDescent="0.25">
      <c r="A28" s="591" t="s">
        <v>1908</v>
      </c>
      <c r="B28" s="592" t="s">
        <v>1909</v>
      </c>
    </row>
    <row r="29" spans="1:2" ht="25.5" customHeight="1" x14ac:dyDescent="0.25">
      <c r="A29" s="591" t="s">
        <v>1910</v>
      </c>
      <c r="B29" s="592" t="s">
        <v>1911</v>
      </c>
    </row>
    <row r="30" spans="1:2" ht="25.5" customHeight="1" x14ac:dyDescent="0.25">
      <c r="A30" s="591" t="s">
        <v>1912</v>
      </c>
      <c r="B30" s="592" t="s">
        <v>1913</v>
      </c>
    </row>
    <row r="31" spans="1:2" ht="25.5" customHeight="1" x14ac:dyDescent="0.25">
      <c r="A31" s="591" t="s">
        <v>1914</v>
      </c>
      <c r="B31" s="592" t="s">
        <v>1915</v>
      </c>
    </row>
    <row r="32" spans="1:2" ht="21" customHeight="1" x14ac:dyDescent="0.25">
      <c r="A32" s="591" t="s">
        <v>1916</v>
      </c>
      <c r="B32" s="592" t="s">
        <v>1917</v>
      </c>
    </row>
    <row r="33" spans="1:2" ht="21" customHeight="1" thickBot="1" x14ac:dyDescent="0.3">
      <c r="A33" s="595" t="s">
        <v>1918</v>
      </c>
      <c r="B33" s="596" t="s">
        <v>1919</v>
      </c>
    </row>
    <row r="34" spans="1:2" ht="21" customHeight="1" thickBot="1" x14ac:dyDescent="0.3">
      <c r="A34" s="595" t="s">
        <v>1920</v>
      </c>
      <c r="B34" s="596" t="s">
        <v>1921</v>
      </c>
    </row>
    <row r="35" spans="1:2" ht="24" customHeight="1" thickBot="1" x14ac:dyDescent="0.3">
      <c r="A35" s="595" t="s">
        <v>1922</v>
      </c>
      <c r="B35" s="596" t="s">
        <v>1923</v>
      </c>
    </row>
  </sheetData>
  <mergeCells count="3">
    <mergeCell ref="A1:B1"/>
    <mergeCell ref="A2:B2"/>
    <mergeCell ref="A3:B3"/>
  </mergeCells>
  <printOptions horizontalCentered="1" verticalCentered="1"/>
  <pageMargins left="0.78740157480314965" right="0.78740157480314965" top="0.98425196850393704" bottom="0.98425196850393704" header="0" footer="0"/>
  <pageSetup scale="70"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4C22F-E367-4A0A-87D5-BAEF72DB1B5C}">
  <dimension ref="A1:BR869"/>
  <sheetViews>
    <sheetView tabSelected="1" view="pageBreakPreview" topLeftCell="L5" zoomScale="68" zoomScaleNormal="68" zoomScaleSheetLayoutView="68" workbookViewId="0">
      <selection activeCell="T15" sqref="T15"/>
    </sheetView>
  </sheetViews>
  <sheetFormatPr baseColWidth="10" defaultColWidth="14.42578125" defaultRowHeight="15" customHeight="1" x14ac:dyDescent="0.25"/>
  <cols>
    <col min="1" max="1" width="59.7109375" style="632" customWidth="1"/>
    <col min="2" max="3" width="21.5703125" style="632" customWidth="1"/>
    <col min="4" max="4" width="24.42578125" style="632" customWidth="1"/>
    <col min="5" max="6" width="10.7109375" style="632" customWidth="1"/>
    <col min="7" max="7" width="10.7109375" style="640" customWidth="1"/>
    <col min="8" max="8" width="23.5703125" style="632" customWidth="1"/>
    <col min="9" max="9" width="10.7109375" style="632" customWidth="1"/>
    <col min="10" max="10" width="10.7109375" style="640" customWidth="1"/>
    <col min="11" max="11" width="10.7109375" style="632" customWidth="1"/>
    <col min="12" max="12" width="16.85546875" style="632" customWidth="1"/>
    <col min="13" max="15" width="10.7109375" style="640" customWidth="1"/>
    <col min="16" max="16" width="26.85546875" style="640" customWidth="1"/>
    <col min="17" max="19" width="10.7109375" style="632" customWidth="1"/>
    <col min="20" max="20" width="46" style="641" customWidth="1"/>
    <col min="21" max="21" width="18.7109375" style="644" customWidth="1"/>
    <col min="22" max="23" width="18.7109375" style="632" customWidth="1"/>
    <col min="24" max="25" width="22.5703125" style="632" customWidth="1"/>
    <col min="26" max="26" width="23.42578125" style="632" customWidth="1"/>
    <col min="27" max="29" width="7.7109375" style="632" customWidth="1"/>
    <col min="30" max="30" width="28.85546875" style="672" customWidth="1"/>
    <col min="31" max="33" width="31.42578125" style="632" customWidth="1"/>
    <col min="34" max="34" width="31.42578125" style="672" customWidth="1"/>
    <col min="35" max="35" width="31.42578125" style="632" customWidth="1"/>
    <col min="36" max="37" width="31.42578125" style="642" customWidth="1"/>
    <col min="38" max="38" width="20.28515625" style="644" customWidth="1"/>
    <col min="39" max="41" width="10" style="632" customWidth="1"/>
    <col min="42" max="42" width="31.42578125" style="672" customWidth="1"/>
    <col min="43" max="43" width="31.42578125" style="632" customWidth="1"/>
    <col min="44" max="45" width="31.42578125" style="642" customWidth="1"/>
    <col min="46" max="46" width="17.85546875" style="643" customWidth="1"/>
    <col min="47" max="49" width="10" style="643" customWidth="1"/>
    <col min="50" max="50" width="31.42578125" style="674" customWidth="1"/>
    <col min="51" max="57" width="31.42578125" style="632" customWidth="1"/>
    <col min="58" max="58" width="21.85546875" style="632" customWidth="1"/>
    <col min="59" max="61" width="10" style="632" customWidth="1"/>
    <col min="62" max="62" width="29.7109375" style="632" customWidth="1"/>
    <col min="63" max="63" width="30.85546875" style="632" customWidth="1"/>
    <col min="64" max="64" width="23.42578125" style="632" customWidth="1"/>
    <col min="65" max="65" width="29" style="632" customWidth="1"/>
    <col min="66" max="66" width="21.28515625" style="632" customWidth="1"/>
    <col min="67" max="67" width="25" style="632" customWidth="1"/>
    <col min="68" max="68" width="30.140625" style="632" customWidth="1"/>
    <col min="69" max="69" width="37" style="632" customWidth="1"/>
    <col min="70" max="70" width="25" style="632" customWidth="1"/>
    <col min="71" max="16384" width="14.42578125" style="632"/>
  </cols>
  <sheetData>
    <row r="1" spans="1:70" ht="112.5" hidden="1" customHeight="1" x14ac:dyDescent="0.25">
      <c r="A1" s="883"/>
      <c r="B1" s="884"/>
      <c r="C1" s="885"/>
      <c r="D1" s="885"/>
      <c r="E1" s="885"/>
      <c r="F1" s="885"/>
      <c r="G1" s="885"/>
      <c r="H1" s="885"/>
      <c r="I1" s="885"/>
      <c r="J1" s="885"/>
      <c r="K1" s="885"/>
      <c r="L1" s="885"/>
      <c r="M1" s="885"/>
      <c r="N1" s="885"/>
      <c r="O1" s="885"/>
      <c r="P1" s="885"/>
      <c r="Q1" s="885"/>
      <c r="R1" s="885"/>
      <c r="S1" s="885"/>
      <c r="T1" s="885"/>
      <c r="U1" s="885"/>
      <c r="V1" s="885"/>
      <c r="W1" s="885"/>
      <c r="X1" s="885"/>
      <c r="Y1" s="885"/>
      <c r="Z1" s="885"/>
      <c r="AA1" s="885"/>
      <c r="AB1" s="885"/>
      <c r="AC1" s="885"/>
      <c r="AD1" s="885"/>
      <c r="AE1" s="885"/>
      <c r="AF1" s="885"/>
      <c r="AG1" s="885"/>
      <c r="AH1" s="885"/>
      <c r="AI1" s="885"/>
      <c r="AJ1" s="885"/>
      <c r="AK1" s="885"/>
      <c r="AL1" s="885"/>
      <c r="AM1" s="885"/>
      <c r="AN1" s="885"/>
      <c r="AO1" s="885"/>
      <c r="AP1" s="885"/>
      <c r="AQ1" s="885"/>
      <c r="AR1" s="885"/>
      <c r="AS1" s="885"/>
      <c r="AT1" s="885"/>
      <c r="AU1" s="885"/>
      <c r="AV1" s="885"/>
      <c r="AW1" s="885"/>
      <c r="AX1" s="885"/>
      <c r="AY1" s="885"/>
      <c r="AZ1" s="885"/>
      <c r="BA1" s="885"/>
      <c r="BB1" s="885"/>
      <c r="BC1" s="885"/>
      <c r="BD1" s="885"/>
      <c r="BE1" s="885"/>
      <c r="BF1" s="885"/>
      <c r="BG1" s="885"/>
      <c r="BH1" s="885"/>
      <c r="BI1" s="885"/>
      <c r="BJ1" s="885"/>
      <c r="BK1" s="885"/>
      <c r="BL1" s="885"/>
      <c r="BM1" s="885"/>
      <c r="BN1" s="885"/>
      <c r="BO1" s="885"/>
      <c r="BP1" s="885"/>
      <c r="BQ1" s="885"/>
      <c r="BR1" s="885"/>
    </row>
    <row r="2" spans="1:70" ht="50.25" hidden="1" customHeight="1" x14ac:dyDescent="0.25">
      <c r="A2" s="886" t="str">
        <f>+'Datos Generales'!C5</f>
        <v>Corporación Autónoma Regional del Cesar – CORPOCESAR</v>
      </c>
      <c r="B2" s="887"/>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5"/>
      <c r="AF2" s="885"/>
      <c r="AG2" s="885"/>
      <c r="AH2" s="885"/>
      <c r="AI2" s="885"/>
      <c r="AJ2" s="885"/>
      <c r="AK2" s="885"/>
      <c r="AL2" s="885"/>
      <c r="AM2" s="885"/>
      <c r="AN2" s="885"/>
      <c r="AO2" s="885"/>
      <c r="AP2" s="885"/>
      <c r="AQ2" s="885"/>
      <c r="AR2" s="885"/>
      <c r="AS2" s="885"/>
      <c r="AT2" s="885"/>
      <c r="AU2" s="885"/>
      <c r="AV2" s="885"/>
      <c r="AW2" s="885"/>
      <c r="AX2" s="885"/>
      <c r="AY2" s="885"/>
      <c r="AZ2" s="885"/>
      <c r="BA2" s="885"/>
      <c r="BB2" s="885"/>
      <c r="BC2" s="885"/>
      <c r="BD2" s="885"/>
      <c r="BE2" s="885"/>
      <c r="BF2" s="885"/>
      <c r="BG2" s="885"/>
      <c r="BH2" s="885"/>
      <c r="BI2" s="885"/>
      <c r="BJ2" s="885"/>
      <c r="BK2" s="885"/>
      <c r="BL2" s="885"/>
      <c r="BM2" s="885"/>
      <c r="BN2" s="885"/>
      <c r="BO2" s="885"/>
      <c r="BP2" s="885"/>
      <c r="BQ2" s="885"/>
      <c r="BR2" s="885"/>
    </row>
    <row r="3" spans="1:70" ht="50.25" hidden="1" customHeight="1" x14ac:dyDescent="0.25">
      <c r="A3" s="886" t="str">
        <f>+'Datos Generales'!C6</f>
        <v>2024-II</v>
      </c>
      <c r="B3" s="887"/>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c r="AV3" s="885"/>
      <c r="AW3" s="885"/>
      <c r="AX3" s="885"/>
      <c r="AY3" s="885"/>
      <c r="AZ3" s="885"/>
      <c r="BA3" s="885"/>
      <c r="BB3" s="885"/>
      <c r="BC3" s="885"/>
      <c r="BD3" s="885"/>
      <c r="BE3" s="885"/>
      <c r="BF3" s="885"/>
      <c r="BG3" s="885"/>
      <c r="BH3" s="885"/>
      <c r="BI3" s="885"/>
      <c r="BJ3" s="885"/>
      <c r="BK3" s="885"/>
      <c r="BL3" s="885"/>
      <c r="BM3" s="885"/>
      <c r="BN3" s="885"/>
      <c r="BO3" s="885"/>
      <c r="BP3" s="885"/>
      <c r="BQ3" s="885"/>
      <c r="BR3" s="885"/>
    </row>
    <row r="4" spans="1:70" ht="50.25" hidden="1" customHeight="1" x14ac:dyDescent="0.25">
      <c r="A4" s="512"/>
      <c r="B4" s="513"/>
      <c r="C4" s="888" t="s">
        <v>1833</v>
      </c>
      <c r="D4" s="888"/>
      <c r="E4" s="888"/>
      <c r="F4" s="888"/>
      <c r="G4" s="888"/>
      <c r="H4" s="888"/>
      <c r="I4" s="888"/>
      <c r="J4" s="888"/>
      <c r="K4" s="888"/>
      <c r="L4" s="888"/>
      <c r="M4" s="888"/>
      <c r="N4" s="888"/>
      <c r="O4" s="888"/>
      <c r="P4" s="888"/>
      <c r="Q4" s="888"/>
      <c r="R4" s="888"/>
      <c r="S4" s="888"/>
      <c r="T4" s="888"/>
      <c r="U4" s="888"/>
      <c r="V4" s="888"/>
      <c r="W4" s="888"/>
      <c r="X4" s="888"/>
      <c r="Y4" s="888"/>
      <c r="Z4" s="888"/>
      <c r="AA4" s="888"/>
      <c r="AB4" s="888"/>
      <c r="AC4" s="888"/>
      <c r="AD4" s="889" t="s">
        <v>1834</v>
      </c>
      <c r="AE4" s="889"/>
      <c r="AF4" s="889"/>
      <c r="AG4" s="889"/>
      <c r="AH4" s="890"/>
      <c r="AI4" s="890"/>
      <c r="AJ4" s="890"/>
      <c r="AK4" s="890"/>
      <c r="AL4" s="890"/>
      <c r="AM4" s="890"/>
      <c r="AN4" s="890"/>
      <c r="AO4" s="890"/>
      <c r="AP4" s="890"/>
      <c r="AQ4" s="890"/>
      <c r="AR4" s="890"/>
      <c r="AS4" s="890"/>
      <c r="AT4" s="890"/>
      <c r="AU4" s="890"/>
      <c r="AV4" s="890"/>
      <c r="AW4" s="890"/>
      <c r="AX4" s="890"/>
      <c r="AY4" s="890"/>
      <c r="AZ4" s="890"/>
      <c r="BA4" s="890"/>
      <c r="BB4" s="890"/>
      <c r="BC4" s="890"/>
      <c r="BD4" s="890"/>
      <c r="BE4" s="890"/>
      <c r="BF4" s="890"/>
      <c r="BG4" s="890"/>
      <c r="BH4" s="890"/>
      <c r="BI4" s="890"/>
      <c r="BJ4" s="890"/>
      <c r="BK4" s="890"/>
      <c r="BL4" s="890"/>
      <c r="BM4" s="890"/>
      <c r="BN4" s="891"/>
      <c r="BO4" s="892"/>
      <c r="BP4" s="893"/>
      <c r="BQ4" s="893"/>
      <c r="BR4" s="893"/>
    </row>
    <row r="5" spans="1:70" ht="137.25" customHeight="1" x14ac:dyDescent="0.25">
      <c r="A5" s="921" t="s">
        <v>2023</v>
      </c>
      <c r="B5" s="923" t="s">
        <v>1835</v>
      </c>
      <c r="C5" s="924" t="s">
        <v>1836</v>
      </c>
      <c r="D5" s="875" t="s">
        <v>1837</v>
      </c>
      <c r="E5" s="876"/>
      <c r="F5" s="876"/>
      <c r="G5" s="877"/>
      <c r="H5" s="875" t="s">
        <v>1838</v>
      </c>
      <c r="I5" s="876"/>
      <c r="J5" s="876"/>
      <c r="K5" s="877"/>
      <c r="L5" s="880" t="s">
        <v>1839</v>
      </c>
      <c r="M5" s="881"/>
      <c r="N5" s="881"/>
      <c r="O5" s="882"/>
      <c r="P5" s="898" t="s">
        <v>1840</v>
      </c>
      <c r="Q5" s="876"/>
      <c r="R5" s="876"/>
      <c r="S5" s="877"/>
      <c r="T5" s="878" t="s">
        <v>1841</v>
      </c>
      <c r="U5" s="878" t="s">
        <v>1842</v>
      </c>
      <c r="V5" s="878" t="s">
        <v>1843</v>
      </c>
      <c r="W5" s="878" t="s">
        <v>1844</v>
      </c>
      <c r="X5" s="878" t="s">
        <v>1845</v>
      </c>
      <c r="Y5" s="514" t="s">
        <v>1846</v>
      </c>
      <c r="Z5" s="904" t="s">
        <v>1847</v>
      </c>
      <c r="AA5" s="905"/>
      <c r="AB5" s="905"/>
      <c r="AC5" s="906"/>
      <c r="AD5" s="907" t="s">
        <v>1848</v>
      </c>
      <c r="AE5" s="908"/>
      <c r="AF5" s="908"/>
      <c r="AG5" s="909"/>
      <c r="AH5" s="910" t="s">
        <v>2264</v>
      </c>
      <c r="AI5" s="911"/>
      <c r="AJ5" s="911"/>
      <c r="AK5" s="912"/>
      <c r="AL5" s="907" t="s">
        <v>1849</v>
      </c>
      <c r="AM5" s="908"/>
      <c r="AN5" s="908"/>
      <c r="AO5" s="909"/>
      <c r="AP5" s="913" t="s">
        <v>1850</v>
      </c>
      <c r="AQ5" s="914"/>
      <c r="AR5" s="914"/>
      <c r="AS5" s="915"/>
      <c r="AT5" s="916" t="s">
        <v>1851</v>
      </c>
      <c r="AU5" s="917"/>
      <c r="AV5" s="917"/>
      <c r="AW5" s="918"/>
      <c r="AX5" s="925" t="s">
        <v>1852</v>
      </c>
      <c r="AY5" s="926"/>
      <c r="AZ5" s="926"/>
      <c r="BA5" s="927"/>
      <c r="BB5" s="925" t="s">
        <v>2265</v>
      </c>
      <c r="BC5" s="926"/>
      <c r="BD5" s="926"/>
      <c r="BE5" s="927"/>
      <c r="BF5" s="925" t="s">
        <v>2266</v>
      </c>
      <c r="BG5" s="926"/>
      <c r="BH5" s="926"/>
      <c r="BI5" s="927"/>
      <c r="BJ5" s="894" t="s">
        <v>2267</v>
      </c>
      <c r="BK5" s="894" t="s">
        <v>1853</v>
      </c>
      <c r="BL5" s="894" t="s">
        <v>1854</v>
      </c>
      <c r="BM5" s="894" t="s">
        <v>1855</v>
      </c>
      <c r="BN5" s="894" t="s">
        <v>1856</v>
      </c>
      <c r="BO5" s="896" t="s">
        <v>1857</v>
      </c>
      <c r="BP5" s="896" t="s">
        <v>1858</v>
      </c>
      <c r="BQ5" s="896" t="s">
        <v>1859</v>
      </c>
      <c r="BR5" s="896" t="s">
        <v>1860</v>
      </c>
    </row>
    <row r="6" spans="1:70" ht="13.5" customHeight="1" x14ac:dyDescent="0.25">
      <c r="A6" s="922"/>
      <c r="B6" s="879"/>
      <c r="C6" s="879"/>
      <c r="D6" s="515" t="s">
        <v>587</v>
      </c>
      <c r="E6" s="515" t="s">
        <v>588</v>
      </c>
      <c r="F6" s="515" t="s">
        <v>589</v>
      </c>
      <c r="G6" s="515" t="s">
        <v>590</v>
      </c>
      <c r="H6" s="515" t="s">
        <v>587</v>
      </c>
      <c r="I6" s="515" t="s">
        <v>588</v>
      </c>
      <c r="J6" s="515" t="s">
        <v>589</v>
      </c>
      <c r="K6" s="515" t="s">
        <v>590</v>
      </c>
      <c r="L6" s="515" t="s">
        <v>587</v>
      </c>
      <c r="M6" s="515" t="s">
        <v>588</v>
      </c>
      <c r="N6" s="515" t="s">
        <v>589</v>
      </c>
      <c r="O6" s="515" t="s">
        <v>590</v>
      </c>
      <c r="P6" s="515" t="s">
        <v>587</v>
      </c>
      <c r="Q6" s="515" t="s">
        <v>588</v>
      </c>
      <c r="R6" s="515" t="s">
        <v>589</v>
      </c>
      <c r="S6" s="515" t="s">
        <v>590</v>
      </c>
      <c r="T6" s="879"/>
      <c r="U6" s="879"/>
      <c r="V6" s="879"/>
      <c r="W6" s="879"/>
      <c r="X6" s="879"/>
      <c r="Y6" s="516" t="s">
        <v>1861</v>
      </c>
      <c r="Z6" s="516" t="s">
        <v>587</v>
      </c>
      <c r="AA6" s="516" t="s">
        <v>588</v>
      </c>
      <c r="AB6" s="516" t="s">
        <v>589</v>
      </c>
      <c r="AC6" s="516" t="s">
        <v>590</v>
      </c>
      <c r="AD6" s="664" t="s">
        <v>587</v>
      </c>
      <c r="AE6" s="517" t="s">
        <v>588</v>
      </c>
      <c r="AF6" s="518" t="s">
        <v>589</v>
      </c>
      <c r="AG6" s="518" t="s">
        <v>590</v>
      </c>
      <c r="AH6" s="664" t="s">
        <v>587</v>
      </c>
      <c r="AI6" s="517" t="s">
        <v>588</v>
      </c>
      <c r="AJ6" s="518" t="s">
        <v>589</v>
      </c>
      <c r="AK6" s="518" t="s">
        <v>590</v>
      </c>
      <c r="AL6" s="517" t="s">
        <v>587</v>
      </c>
      <c r="AM6" s="517" t="s">
        <v>588</v>
      </c>
      <c r="AN6" s="518" t="s">
        <v>589</v>
      </c>
      <c r="AO6" s="518" t="s">
        <v>590</v>
      </c>
      <c r="AP6" s="664" t="s">
        <v>587</v>
      </c>
      <c r="AQ6" s="517" t="s">
        <v>588</v>
      </c>
      <c r="AR6" s="518" t="s">
        <v>589</v>
      </c>
      <c r="AS6" s="518" t="s">
        <v>590</v>
      </c>
      <c r="AT6" s="517" t="s">
        <v>587</v>
      </c>
      <c r="AU6" s="517" t="s">
        <v>588</v>
      </c>
      <c r="AV6" s="518" t="s">
        <v>589</v>
      </c>
      <c r="AW6" s="519" t="s">
        <v>590</v>
      </c>
      <c r="AX6" s="678" t="s">
        <v>587</v>
      </c>
      <c r="AY6" s="520" t="s">
        <v>588</v>
      </c>
      <c r="AZ6" s="520" t="s">
        <v>589</v>
      </c>
      <c r="BA6" s="520" t="s">
        <v>590</v>
      </c>
      <c r="BB6" s="520" t="s">
        <v>587</v>
      </c>
      <c r="BC6" s="520" t="s">
        <v>588</v>
      </c>
      <c r="BD6" s="520" t="s">
        <v>589</v>
      </c>
      <c r="BE6" s="520" t="s">
        <v>590</v>
      </c>
      <c r="BF6" s="520" t="s">
        <v>587</v>
      </c>
      <c r="BG6" s="520" t="s">
        <v>588</v>
      </c>
      <c r="BH6" s="520" t="s">
        <v>589</v>
      </c>
      <c r="BI6" s="520" t="s">
        <v>590</v>
      </c>
      <c r="BJ6" s="895"/>
      <c r="BK6" s="895"/>
      <c r="BL6" s="895"/>
      <c r="BM6" s="895"/>
      <c r="BN6" s="895"/>
      <c r="BO6" s="897"/>
      <c r="BP6" s="897"/>
      <c r="BQ6" s="897"/>
      <c r="BR6" s="897"/>
    </row>
    <row r="7" spans="1:70" s="633" customFormat="1" ht="53.25" hidden="1" customHeight="1" x14ac:dyDescent="0.25">
      <c r="A7" s="614" t="s">
        <v>1928</v>
      </c>
      <c r="B7" s="614"/>
      <c r="C7" s="615"/>
      <c r="D7" s="615"/>
      <c r="E7" s="616"/>
      <c r="F7" s="616"/>
      <c r="G7" s="616"/>
      <c r="H7" s="616"/>
      <c r="I7" s="616"/>
      <c r="J7" s="616"/>
      <c r="K7" s="616"/>
      <c r="L7" s="616"/>
      <c r="M7" s="616"/>
      <c r="N7" s="616"/>
      <c r="O7" s="616"/>
      <c r="P7" s="617">
        <f>+(P8*Z8)+(P17*Z17)</f>
        <v>1</v>
      </c>
      <c r="Q7" s="618" t="e">
        <f>+(Q8*AA8)+(Q17*AA17)</f>
        <v>#REF!</v>
      </c>
      <c r="R7" s="618" t="e">
        <f>+(R8*AB8)+(R17*AB17)</f>
        <v>#DIV/0!</v>
      </c>
      <c r="S7" s="618" t="e">
        <f>+(S8*AC8)+(S17*AC17)</f>
        <v>#DIV/0!</v>
      </c>
      <c r="T7" s="614"/>
      <c r="U7" s="619"/>
      <c r="V7" s="620"/>
      <c r="W7" s="620"/>
      <c r="X7" s="622">
        <f>+(X8*Y8)+(X17*Y17)</f>
        <v>0.24099999999999999</v>
      </c>
      <c r="Y7" s="621">
        <v>0.2</v>
      </c>
      <c r="Z7" s="621">
        <v>0.2</v>
      </c>
      <c r="AA7" s="621"/>
      <c r="AB7" s="621"/>
      <c r="AC7" s="621"/>
      <c r="AD7" s="665">
        <f>+AD8+AD17</f>
        <v>3736167890</v>
      </c>
      <c r="AE7" s="665">
        <f t="shared" ref="AE7:AG7" si="0">+AE8+AE17</f>
        <v>0</v>
      </c>
      <c r="AF7" s="665">
        <f t="shared" si="0"/>
        <v>0</v>
      </c>
      <c r="AG7" s="665">
        <f t="shared" si="0"/>
        <v>0</v>
      </c>
      <c r="AH7" s="665">
        <f>+AH8+AH17</f>
        <v>3605048700.1500001</v>
      </c>
      <c r="AI7" s="665">
        <f t="shared" ref="AI7:AK7" si="1">+AI8+AI17</f>
        <v>0</v>
      </c>
      <c r="AJ7" s="665">
        <f t="shared" si="1"/>
        <v>0</v>
      </c>
      <c r="AK7" s="665">
        <f t="shared" si="1"/>
        <v>0</v>
      </c>
      <c r="AL7" s="622">
        <f>+AH7/AD7</f>
        <v>0.96490543420145936</v>
      </c>
      <c r="AM7" s="622" t="e">
        <f>+AI7/AE7</f>
        <v>#DIV/0!</v>
      </c>
      <c r="AN7" s="622" t="e">
        <f>+AJ7/AF7</f>
        <v>#DIV/0!</v>
      </c>
      <c r="AO7" s="622" t="e">
        <f>+AK7/AG7</f>
        <v>#DIV/0!</v>
      </c>
      <c r="AP7" s="665">
        <f t="shared" ref="AP7" si="2">+AP8+AP17</f>
        <v>3571548700.1500001</v>
      </c>
      <c r="AQ7" s="665">
        <f t="shared" ref="AQ7" si="3">+AQ8+AQ17</f>
        <v>0</v>
      </c>
      <c r="AR7" s="665">
        <f t="shared" ref="AR7" si="4">+AR8+AR17</f>
        <v>0</v>
      </c>
      <c r="AS7" s="665">
        <f t="shared" ref="AS7" si="5">+AS8+AS17</f>
        <v>0</v>
      </c>
      <c r="AT7" s="622">
        <f>+AP7/AD7</f>
        <v>0.95593902771590922</v>
      </c>
      <c r="AU7" s="622" t="e">
        <f>+AQ7/AE7</f>
        <v>#DIV/0!</v>
      </c>
      <c r="AV7" s="622" t="e">
        <f>+AR7/AF7</f>
        <v>#DIV/0!</v>
      </c>
      <c r="AW7" s="622" t="e">
        <f>+AS7/AG7</f>
        <v>#DIV/0!</v>
      </c>
      <c r="AX7" s="731">
        <f t="shared" ref="AX7" si="6">+AX8+AX17</f>
        <v>33500000</v>
      </c>
      <c r="AY7" s="731">
        <f t="shared" ref="AY7:BA7" si="7">+AY8+AY17</f>
        <v>0</v>
      </c>
      <c r="AZ7" s="731">
        <f t="shared" si="7"/>
        <v>0</v>
      </c>
      <c r="BA7" s="731">
        <f t="shared" si="7"/>
        <v>0</v>
      </c>
      <c r="BB7" s="731">
        <f t="shared" ref="BB7:BE7" si="8">+BB8+BB17</f>
        <v>0</v>
      </c>
      <c r="BC7" s="731">
        <f t="shared" si="8"/>
        <v>0</v>
      </c>
      <c r="BD7" s="731">
        <f t="shared" si="8"/>
        <v>0</v>
      </c>
      <c r="BE7" s="731">
        <f t="shared" si="8"/>
        <v>0</v>
      </c>
      <c r="BF7" s="619">
        <f>+BB7/AX7</f>
        <v>0</v>
      </c>
      <c r="BG7" s="619" t="e">
        <f t="shared" ref="BG7:BI16" si="9">+BC7/AY7</f>
        <v>#DIV/0!</v>
      </c>
      <c r="BH7" s="619" t="e">
        <f t="shared" si="9"/>
        <v>#DIV/0!</v>
      </c>
      <c r="BI7" s="619" t="e">
        <f>+BE7/BA7</f>
        <v>#DIV/0!</v>
      </c>
      <c r="BJ7" s="620">
        <f>+AD7+AE7+AF7+AG7</f>
        <v>3736167890</v>
      </c>
      <c r="BK7" s="620">
        <f>+AH7+AI7+AJ7+AK7</f>
        <v>3605048700.1500001</v>
      </c>
      <c r="BL7" s="621">
        <f>+BK7/BJ7</f>
        <v>0.96490543420145936</v>
      </c>
      <c r="BM7" s="620">
        <f>+AP7+AQ7+AR7+AS7</f>
        <v>3571548700.1500001</v>
      </c>
      <c r="BN7" s="621">
        <f t="shared" ref="BN7:BN61" si="10">+BM7/BJ7</f>
        <v>0.95593902771590922</v>
      </c>
      <c r="BO7" s="615"/>
      <c r="BP7" s="615"/>
      <c r="BQ7" s="615"/>
      <c r="BR7" s="615"/>
    </row>
    <row r="8" spans="1:70" ht="53.25" customHeight="1" x14ac:dyDescent="0.25">
      <c r="A8" s="521" t="s">
        <v>1929</v>
      </c>
      <c r="B8" s="521"/>
      <c r="C8" s="522"/>
      <c r="D8" s="522"/>
      <c r="E8" s="523"/>
      <c r="F8" s="523"/>
      <c r="G8" s="524"/>
      <c r="H8" s="523"/>
      <c r="I8" s="523"/>
      <c r="J8" s="524"/>
      <c r="K8" s="523"/>
      <c r="L8" s="523"/>
      <c r="M8" s="524"/>
      <c r="N8" s="524"/>
      <c r="O8" s="524"/>
      <c r="P8" s="611">
        <f>+(P9*Z9)+(P13*Z13)</f>
        <v>1</v>
      </c>
      <c r="Q8" s="525" t="e">
        <f>+(Q9*AA9)+(Q13*Z13)+(#REF!*#REF!)</f>
        <v>#REF!</v>
      </c>
      <c r="R8" s="525" t="e">
        <f>+(R9*AB9)+(R13*AA13)+(#REF!*#REF!)</f>
        <v>#DIV/0!</v>
      </c>
      <c r="S8" s="525" t="e">
        <f>+(S9*AC9)+(S13*AB13)+(#REF!*#REF!)</f>
        <v>#DIV/0!</v>
      </c>
      <c r="T8" s="526"/>
      <c r="U8" s="628"/>
      <c r="V8" s="527"/>
      <c r="W8" s="527"/>
      <c r="X8" s="532">
        <f>+(X9*Y9)+(X13*Y13)</f>
        <v>0.23200000000000001</v>
      </c>
      <c r="Y8" s="529">
        <v>0.5</v>
      </c>
      <c r="Z8" s="529">
        <v>0.5</v>
      </c>
      <c r="AA8" s="529"/>
      <c r="AB8" s="529"/>
      <c r="AC8" s="529"/>
      <c r="AD8" s="666">
        <f>+AD9+AD13</f>
        <v>978592603</v>
      </c>
      <c r="AE8" s="666">
        <f>+AE9+AE13</f>
        <v>0</v>
      </c>
      <c r="AF8" s="666">
        <f>+AF9+AF13</f>
        <v>0</v>
      </c>
      <c r="AG8" s="666">
        <f>+AG9+AG13</f>
        <v>0</v>
      </c>
      <c r="AH8" s="666">
        <f>+AH9+AH13</f>
        <v>857095416.23000002</v>
      </c>
      <c r="AI8" s="666">
        <f t="shared" ref="AI8:AK8" si="11">+AI9+AI13</f>
        <v>0</v>
      </c>
      <c r="AJ8" s="666">
        <f t="shared" si="11"/>
        <v>0</v>
      </c>
      <c r="AK8" s="666">
        <f t="shared" si="11"/>
        <v>0</v>
      </c>
      <c r="AL8" s="532">
        <f t="shared" ref="AL8:AO62" si="12">+AH8/AD8</f>
        <v>0.87584497737103784</v>
      </c>
      <c r="AM8" s="532" t="e">
        <f t="shared" si="12"/>
        <v>#DIV/0!</v>
      </c>
      <c r="AN8" s="532" t="e">
        <f t="shared" si="12"/>
        <v>#DIV/0!</v>
      </c>
      <c r="AO8" s="532" t="e">
        <f t="shared" si="12"/>
        <v>#DIV/0!</v>
      </c>
      <c r="AP8" s="666">
        <f t="shared" ref="AP8" si="13">+AP9+AP13</f>
        <v>823595416.23000002</v>
      </c>
      <c r="AQ8" s="666">
        <f t="shared" ref="AQ8" si="14">+AQ9+AQ13</f>
        <v>0</v>
      </c>
      <c r="AR8" s="666">
        <f t="shared" ref="AR8" si="15">+AR9+AR13</f>
        <v>0</v>
      </c>
      <c r="AS8" s="666">
        <f t="shared" ref="AS8" si="16">+AS9+AS13</f>
        <v>0</v>
      </c>
      <c r="AT8" s="532">
        <f t="shared" ref="AT8:AW62" si="17">+AP8/AD8</f>
        <v>0.84161214146230368</v>
      </c>
      <c r="AU8" s="532" t="e">
        <f t="shared" si="17"/>
        <v>#DIV/0!</v>
      </c>
      <c r="AV8" s="532" t="e">
        <f t="shared" si="17"/>
        <v>#DIV/0!</v>
      </c>
      <c r="AW8" s="532" t="e">
        <f t="shared" si="17"/>
        <v>#DIV/0!</v>
      </c>
      <c r="AX8" s="666">
        <f>+AX9+AX13</f>
        <v>33500000</v>
      </c>
      <c r="AY8" s="666">
        <f t="shared" ref="AY8:BA8" si="18">+AY9+AY13</f>
        <v>0</v>
      </c>
      <c r="AZ8" s="666">
        <f t="shared" si="18"/>
        <v>0</v>
      </c>
      <c r="BA8" s="666">
        <f t="shared" si="18"/>
        <v>0</v>
      </c>
      <c r="BB8" s="666">
        <f t="shared" ref="BB8" si="19">+BB9+BB13</f>
        <v>0</v>
      </c>
      <c r="BC8" s="666">
        <f t="shared" ref="BC8" si="20">+BC9+BC13</f>
        <v>0</v>
      </c>
      <c r="BD8" s="666">
        <f t="shared" ref="BD8" si="21">+BD9+BD13</f>
        <v>0</v>
      </c>
      <c r="BE8" s="666">
        <f t="shared" ref="BE8" si="22">+BE9+BE13</f>
        <v>0</v>
      </c>
      <c r="BF8" s="732">
        <f t="shared" ref="BF8:BI62" si="23">+BB8/AX8</f>
        <v>0</v>
      </c>
      <c r="BG8" s="732" t="e">
        <f t="shared" si="9"/>
        <v>#DIV/0!</v>
      </c>
      <c r="BH8" s="732" t="e">
        <f t="shared" si="9"/>
        <v>#DIV/0!</v>
      </c>
      <c r="BI8" s="529" t="e">
        <f t="shared" si="9"/>
        <v>#DIV/0!</v>
      </c>
      <c r="BJ8" s="530">
        <f t="shared" ref="BJ8:BJ71" si="24">+AD8+AE8+AF8+AG8</f>
        <v>978592603</v>
      </c>
      <c r="BK8" s="530">
        <f t="shared" ref="BK8:BK62" si="25">+AH8+AI8+AJ8+AK8</f>
        <v>857095416.23000002</v>
      </c>
      <c r="BL8" s="529">
        <f t="shared" ref="BL8:BL62" si="26">+BK8/BJ8</f>
        <v>0.87584497737103784</v>
      </c>
      <c r="BM8" s="530">
        <f t="shared" ref="BM8:BM62" si="27">+AP8+AQ8+AR8+AS8</f>
        <v>823595416.23000002</v>
      </c>
      <c r="BN8" s="529">
        <f t="shared" si="10"/>
        <v>0.84161214146230368</v>
      </c>
      <c r="BO8" s="531"/>
      <c r="BP8" s="531"/>
      <c r="BQ8" s="531"/>
      <c r="BR8" s="531"/>
    </row>
    <row r="9" spans="1:70" s="634" customFormat="1" ht="53.25" customHeight="1" x14ac:dyDescent="0.25">
      <c r="A9" s="533" t="s">
        <v>1930</v>
      </c>
      <c r="B9" s="533"/>
      <c r="C9" s="534"/>
      <c r="D9" s="534"/>
      <c r="E9" s="535"/>
      <c r="F9" s="535"/>
      <c r="G9" s="535"/>
      <c r="H9" s="535"/>
      <c r="I9" s="535"/>
      <c r="J9" s="535"/>
      <c r="K9" s="535"/>
      <c r="L9" s="535"/>
      <c r="M9" s="535"/>
      <c r="N9" s="535"/>
      <c r="O9" s="535"/>
      <c r="P9" s="536">
        <f>+SUMPRODUCT(P10:P12,Z10:Z12)</f>
        <v>1</v>
      </c>
      <c r="Q9" s="536">
        <f>+SUMPRODUCT(Q10:Q12,AA10:AA12)</f>
        <v>0</v>
      </c>
      <c r="R9" s="536">
        <f>+SUMPRODUCT(R10:R12,AB10:AB12)</f>
        <v>0</v>
      </c>
      <c r="S9" s="536">
        <f>+SUMPRODUCT(S10:S12,AC10:AC12)</f>
        <v>0</v>
      </c>
      <c r="T9" s="533"/>
      <c r="U9" s="512"/>
      <c r="V9" s="537"/>
      <c r="W9" s="537"/>
      <c r="X9" s="717">
        <f>+SUMPRODUCT(X10:X12,Y10:Y12)</f>
        <v>0.20500000000000002</v>
      </c>
      <c r="Y9" s="536">
        <v>0.4</v>
      </c>
      <c r="Z9" s="536">
        <v>0.4</v>
      </c>
      <c r="AA9" s="536"/>
      <c r="AB9" s="536"/>
      <c r="AC9" s="536"/>
      <c r="AD9" s="667">
        <f>SUM(AD10:AD12)</f>
        <v>524614120</v>
      </c>
      <c r="AE9" s="667">
        <f>SUM(AE10:AE12)</f>
        <v>0</v>
      </c>
      <c r="AF9" s="667">
        <f>SUM(AF10:AF12)</f>
        <v>0</v>
      </c>
      <c r="AG9" s="667">
        <f>SUM(AG10:AG12)</f>
        <v>0</v>
      </c>
      <c r="AH9" s="667">
        <f>SUM(AH10:AH12)</f>
        <v>482830926.91000003</v>
      </c>
      <c r="AI9" s="667">
        <f t="shared" ref="AI9:AK9" si="28">SUM(AI10:AI12)</f>
        <v>0</v>
      </c>
      <c r="AJ9" s="667">
        <f t="shared" si="28"/>
        <v>0</v>
      </c>
      <c r="AK9" s="667">
        <f t="shared" si="28"/>
        <v>0</v>
      </c>
      <c r="AL9" s="677">
        <f t="shared" si="12"/>
        <v>0.9203544252869138</v>
      </c>
      <c r="AM9" s="729" t="e">
        <f t="shared" si="12"/>
        <v>#DIV/0!</v>
      </c>
      <c r="AN9" s="729" t="e">
        <f t="shared" si="12"/>
        <v>#DIV/0!</v>
      </c>
      <c r="AO9" s="729" t="e">
        <f t="shared" si="12"/>
        <v>#DIV/0!</v>
      </c>
      <c r="AP9" s="667">
        <f t="shared" ref="AP9" si="29">SUM(AP10:AP12)</f>
        <v>467830926.91000003</v>
      </c>
      <c r="AQ9" s="667">
        <f t="shared" ref="AQ9" si="30">SUM(AQ10:AQ12)</f>
        <v>0</v>
      </c>
      <c r="AR9" s="667">
        <f t="shared" ref="AR9" si="31">SUM(AR10:AR12)</f>
        <v>0</v>
      </c>
      <c r="AS9" s="667">
        <f t="shared" ref="AS9" si="32">SUM(AS10:AS12)</f>
        <v>0</v>
      </c>
      <c r="AT9" s="538">
        <f>+AP9/AD9</f>
        <v>0.89176198099662285</v>
      </c>
      <c r="AU9" s="538" t="e">
        <f t="shared" si="17"/>
        <v>#DIV/0!</v>
      </c>
      <c r="AV9" s="538" t="e">
        <f t="shared" si="17"/>
        <v>#DIV/0!</v>
      </c>
      <c r="AW9" s="538" t="e">
        <f t="shared" si="17"/>
        <v>#DIV/0!</v>
      </c>
      <c r="AX9" s="667">
        <f>SUM(AX10:AX12)</f>
        <v>15000000</v>
      </c>
      <c r="AY9" s="667">
        <f t="shared" ref="AY9:BA9" si="33">SUM(AY10:AY12)</f>
        <v>0</v>
      </c>
      <c r="AZ9" s="667">
        <f t="shared" si="33"/>
        <v>0</v>
      </c>
      <c r="BA9" s="667">
        <f t="shared" si="33"/>
        <v>0</v>
      </c>
      <c r="BB9" s="667">
        <f t="shared" ref="BB9" si="34">SUM(BB10:BB12)</f>
        <v>0</v>
      </c>
      <c r="BC9" s="667">
        <f t="shared" ref="BC9" si="35">SUM(BC10:BC12)</f>
        <v>0</v>
      </c>
      <c r="BD9" s="667">
        <f t="shared" ref="BD9" si="36">SUM(BD10:BD12)</f>
        <v>0</v>
      </c>
      <c r="BE9" s="667">
        <f t="shared" ref="BE9" si="37">SUM(BE10:BE12)</f>
        <v>0</v>
      </c>
      <c r="BF9" s="733">
        <f>+BB9/AX9</f>
        <v>0</v>
      </c>
      <c r="BG9" s="733" t="e">
        <f t="shared" si="9"/>
        <v>#DIV/0!</v>
      </c>
      <c r="BH9" s="733" t="e">
        <f t="shared" si="9"/>
        <v>#DIV/0!</v>
      </c>
      <c r="BI9" s="512" t="e">
        <f t="shared" si="9"/>
        <v>#DIV/0!</v>
      </c>
      <c r="BJ9" s="537">
        <f t="shared" si="24"/>
        <v>524614120</v>
      </c>
      <c r="BK9" s="537">
        <f t="shared" si="25"/>
        <v>482830926.91000003</v>
      </c>
      <c r="BL9" s="536">
        <f>+BK9/BJ9</f>
        <v>0.9203544252869138</v>
      </c>
      <c r="BM9" s="537">
        <f>+AP9+AQ9+AR9+AS9</f>
        <v>467830926.91000003</v>
      </c>
      <c r="BN9" s="536">
        <f>+BM9/BJ9</f>
        <v>0.89176198099662285</v>
      </c>
      <c r="BO9" s="534"/>
      <c r="BP9" s="534"/>
      <c r="BQ9" s="534"/>
      <c r="BR9" s="534"/>
    </row>
    <row r="10" spans="1:70" ht="53.25" customHeight="1" x14ac:dyDescent="0.25">
      <c r="A10" s="539" t="s">
        <v>1931</v>
      </c>
      <c r="B10" s="539" t="s">
        <v>2024</v>
      </c>
      <c r="C10" s="540" t="s">
        <v>2095</v>
      </c>
      <c r="D10" s="540">
        <v>0</v>
      </c>
      <c r="E10" s="740">
        <v>200</v>
      </c>
      <c r="F10" s="740">
        <v>200</v>
      </c>
      <c r="G10" s="741">
        <v>100</v>
      </c>
      <c r="H10" s="740">
        <v>0</v>
      </c>
      <c r="I10" s="740">
        <v>0</v>
      </c>
      <c r="J10" s="740">
        <v>0</v>
      </c>
      <c r="K10" s="741">
        <v>0</v>
      </c>
      <c r="L10" s="541"/>
      <c r="M10" s="542"/>
      <c r="N10" s="542"/>
      <c r="O10" s="542"/>
      <c r="P10" s="562" t="s">
        <v>2142</v>
      </c>
      <c r="Q10" s="562">
        <f t="shared" ref="P10:S12" si="38">IF((I10+M10)/E10&gt;=100%,100%,(I10+M10)/E10)</f>
        <v>0</v>
      </c>
      <c r="R10" s="562">
        <f t="shared" si="38"/>
        <v>0</v>
      </c>
      <c r="S10" s="562">
        <f t="shared" si="38"/>
        <v>0</v>
      </c>
      <c r="T10" s="544" t="s">
        <v>2142</v>
      </c>
      <c r="U10" s="629">
        <v>45657</v>
      </c>
      <c r="V10" s="544">
        <f t="shared" ref="V10:V12" si="39">SUM(D10:G10)</f>
        <v>500</v>
      </c>
      <c r="W10" s="544">
        <f t="shared" ref="W10:W12" si="40">SUM(H10:N10)</f>
        <v>0</v>
      </c>
      <c r="X10" s="549">
        <f>IF(W10/V10&gt;=100%,100%,W10/V10)</f>
        <v>0</v>
      </c>
      <c r="Y10" s="546" t="s">
        <v>2142</v>
      </c>
      <c r="Z10" s="546" t="s">
        <v>2142</v>
      </c>
      <c r="AA10" s="546">
        <v>0</v>
      </c>
      <c r="AB10" s="547">
        <v>0</v>
      </c>
      <c r="AC10" s="547">
        <v>0</v>
      </c>
      <c r="AD10" s="668">
        <f>+'Anexo 5.2 A'!BG6</f>
        <v>0</v>
      </c>
      <c r="AE10" s="730"/>
      <c r="AF10" s="730"/>
      <c r="AG10" s="730"/>
      <c r="AH10" s="675">
        <f>+'Anexo 5.2 A'!BH6</f>
        <v>0</v>
      </c>
      <c r="AI10" s="728"/>
      <c r="AJ10" s="742"/>
      <c r="AK10" s="742"/>
      <c r="AL10" s="549" t="e">
        <f t="shared" si="12"/>
        <v>#DIV/0!</v>
      </c>
      <c r="AM10" s="549" t="e">
        <f t="shared" si="12"/>
        <v>#DIV/0!</v>
      </c>
      <c r="AN10" s="549" t="e">
        <f t="shared" si="12"/>
        <v>#DIV/0!</v>
      </c>
      <c r="AO10" s="549" t="e">
        <f t="shared" si="12"/>
        <v>#DIV/0!</v>
      </c>
      <c r="AP10" s="675">
        <f>+'Anexo 5.2 A'!BJ6</f>
        <v>0</v>
      </c>
      <c r="AQ10" s="675">
        <f>+'Anexo 5.2 A'!BK6</f>
        <v>0</v>
      </c>
      <c r="AR10" s="675">
        <f>+'Anexo 5.2 A'!BL6</f>
        <v>0</v>
      </c>
      <c r="AS10" s="675">
        <f>+'Anexo 5.2 A'!BM6</f>
        <v>0</v>
      </c>
      <c r="AT10" s="549" t="e">
        <f t="shared" si="17"/>
        <v>#DIV/0!</v>
      </c>
      <c r="AU10" s="549" t="e">
        <f t="shared" si="17"/>
        <v>#DIV/0!</v>
      </c>
      <c r="AV10" s="549" t="e">
        <f t="shared" si="17"/>
        <v>#DIV/0!</v>
      </c>
      <c r="AW10" s="549" t="e">
        <f t="shared" si="17"/>
        <v>#DIV/0!</v>
      </c>
      <c r="AX10" s="676">
        <f>+AH10-AP10</f>
        <v>0</v>
      </c>
      <c r="AY10" s="676">
        <f t="shared" ref="AY10:BA12" si="41">+AI10-AQ10</f>
        <v>0</v>
      </c>
      <c r="AZ10" s="676">
        <f t="shared" si="41"/>
        <v>0</v>
      </c>
      <c r="BA10" s="676">
        <f t="shared" si="41"/>
        <v>0</v>
      </c>
      <c r="BB10" s="551"/>
      <c r="BC10" s="551"/>
      <c r="BD10" s="551"/>
      <c r="BE10" s="551"/>
      <c r="BF10" s="737" t="e">
        <f t="shared" si="23"/>
        <v>#DIV/0!</v>
      </c>
      <c r="BG10" s="737" t="e">
        <f t="shared" si="9"/>
        <v>#DIV/0!</v>
      </c>
      <c r="BH10" s="737" t="e">
        <f t="shared" si="9"/>
        <v>#DIV/0!</v>
      </c>
      <c r="BI10" s="547" t="e">
        <f t="shared" si="9"/>
        <v>#DIV/0!</v>
      </c>
      <c r="BJ10" s="730">
        <f t="shared" si="24"/>
        <v>0</v>
      </c>
      <c r="BK10" s="544">
        <f t="shared" si="25"/>
        <v>0</v>
      </c>
      <c r="BL10" s="553" t="e">
        <f t="shared" si="26"/>
        <v>#DIV/0!</v>
      </c>
      <c r="BM10" s="544">
        <f t="shared" si="27"/>
        <v>0</v>
      </c>
      <c r="BN10" s="553" t="e">
        <f t="shared" si="10"/>
        <v>#DIV/0!</v>
      </c>
      <c r="BO10" s="548"/>
      <c r="BP10" s="552" t="s">
        <v>2349</v>
      </c>
      <c r="BQ10" s="552" t="s">
        <v>2327</v>
      </c>
      <c r="BR10" s="554" t="s">
        <v>2321</v>
      </c>
    </row>
    <row r="11" spans="1:70" ht="88.5" customHeight="1" x14ac:dyDescent="0.25">
      <c r="A11" s="539" t="s">
        <v>1932</v>
      </c>
      <c r="B11" s="539" t="s">
        <v>2025</v>
      </c>
      <c r="C11" s="540" t="s">
        <v>2093</v>
      </c>
      <c r="D11" s="540">
        <v>1</v>
      </c>
      <c r="E11" s="740">
        <v>1</v>
      </c>
      <c r="F11" s="740">
        <v>1</v>
      </c>
      <c r="G11" s="741">
        <v>1</v>
      </c>
      <c r="H11" s="740">
        <v>1</v>
      </c>
      <c r="I11" s="541">
        <v>0</v>
      </c>
      <c r="J11" s="541">
        <v>0</v>
      </c>
      <c r="K11" s="541">
        <v>0</v>
      </c>
      <c r="L11" s="541"/>
      <c r="M11" s="542"/>
      <c r="N11" s="542"/>
      <c r="O11" s="542"/>
      <c r="P11" s="562">
        <f>IF((H11+L11)/D11&gt;=100%,100%,(H11+L11)/D11)</f>
        <v>1</v>
      </c>
      <c r="Q11" s="562">
        <f t="shared" si="38"/>
        <v>0</v>
      </c>
      <c r="R11" s="562">
        <f t="shared" si="38"/>
        <v>0</v>
      </c>
      <c r="S11" s="562">
        <f t="shared" si="38"/>
        <v>0</v>
      </c>
      <c r="T11" s="552" t="s">
        <v>2133</v>
      </c>
      <c r="U11" s="629">
        <v>45657</v>
      </c>
      <c r="V11" s="544">
        <f t="shared" si="39"/>
        <v>4</v>
      </c>
      <c r="W11" s="544">
        <f t="shared" si="40"/>
        <v>1</v>
      </c>
      <c r="X11" s="549">
        <f t="shared" ref="X11:X12" si="42">IF(W11/V11&gt;=100%,100%,W11/V11)</f>
        <v>0.25</v>
      </c>
      <c r="Y11" s="546">
        <v>0.5</v>
      </c>
      <c r="Z11" s="546">
        <v>0.5</v>
      </c>
      <c r="AA11" s="546">
        <v>0</v>
      </c>
      <c r="AB11" s="547">
        <v>0</v>
      </c>
      <c r="AC11" s="547">
        <v>0</v>
      </c>
      <c r="AD11" s="668">
        <f>+'Anexo 5.2 A'!BG7</f>
        <v>262307060</v>
      </c>
      <c r="AE11" s="730"/>
      <c r="AF11" s="730"/>
      <c r="AG11" s="730"/>
      <c r="AH11" s="675">
        <f>+'Anexo 5.2 A'!BH7</f>
        <v>241415463.45500001</v>
      </c>
      <c r="AI11" s="728"/>
      <c r="AJ11" s="743"/>
      <c r="AK11" s="743"/>
      <c r="AL11" s="549">
        <f t="shared" si="12"/>
        <v>0.9203544252869138</v>
      </c>
      <c r="AM11" s="549" t="e">
        <f t="shared" si="12"/>
        <v>#DIV/0!</v>
      </c>
      <c r="AN11" s="549" t="e">
        <f t="shared" si="12"/>
        <v>#DIV/0!</v>
      </c>
      <c r="AO11" s="549" t="e">
        <f t="shared" si="12"/>
        <v>#DIV/0!</v>
      </c>
      <c r="AP11" s="675">
        <f>+'Anexo 5.2 A'!BJ7</f>
        <v>233915463.45500001</v>
      </c>
      <c r="AQ11" s="675">
        <f>+'Anexo 5.2 A'!BK7</f>
        <v>0</v>
      </c>
      <c r="AR11" s="675">
        <f>+'Anexo 5.2 A'!BL7</f>
        <v>0</v>
      </c>
      <c r="AS11" s="675">
        <f>+'Anexo 5.2 A'!BM7</f>
        <v>0</v>
      </c>
      <c r="AT11" s="549">
        <f t="shared" si="17"/>
        <v>0.89176198099662285</v>
      </c>
      <c r="AU11" s="549" t="e">
        <f t="shared" si="17"/>
        <v>#DIV/0!</v>
      </c>
      <c r="AV11" s="549" t="e">
        <f t="shared" si="17"/>
        <v>#DIV/0!</v>
      </c>
      <c r="AW11" s="549" t="e">
        <f t="shared" si="17"/>
        <v>#DIV/0!</v>
      </c>
      <c r="AX11" s="676">
        <f t="shared" ref="AX11:AX12" si="43">+AH11-AP11</f>
        <v>7500000</v>
      </c>
      <c r="AY11" s="676">
        <f t="shared" si="41"/>
        <v>0</v>
      </c>
      <c r="AZ11" s="676">
        <f t="shared" si="41"/>
        <v>0</v>
      </c>
      <c r="BA11" s="676">
        <f t="shared" si="41"/>
        <v>0</v>
      </c>
      <c r="BB11" s="551"/>
      <c r="BC11" s="551"/>
      <c r="BD11" s="551"/>
      <c r="BE11" s="551"/>
      <c r="BF11" s="737">
        <f t="shared" si="23"/>
        <v>0</v>
      </c>
      <c r="BG11" s="737" t="e">
        <f t="shared" si="9"/>
        <v>#DIV/0!</v>
      </c>
      <c r="BH11" s="737" t="e">
        <f t="shared" si="9"/>
        <v>#DIV/0!</v>
      </c>
      <c r="BI11" s="540" t="e">
        <f t="shared" si="9"/>
        <v>#DIV/0!</v>
      </c>
      <c r="BJ11" s="730">
        <f t="shared" si="24"/>
        <v>262307060</v>
      </c>
      <c r="BK11" s="544">
        <f t="shared" si="25"/>
        <v>241415463.45500001</v>
      </c>
      <c r="BL11" s="553">
        <f t="shared" si="26"/>
        <v>0.9203544252869138</v>
      </c>
      <c r="BM11" s="544">
        <f t="shared" si="27"/>
        <v>233915463.45500001</v>
      </c>
      <c r="BN11" s="553">
        <f t="shared" si="10"/>
        <v>0.89176198099662285</v>
      </c>
      <c r="BO11" s="548"/>
      <c r="BP11" s="552" t="s">
        <v>2349</v>
      </c>
      <c r="BQ11" s="552" t="s">
        <v>2328</v>
      </c>
      <c r="BR11" s="554" t="s">
        <v>2321</v>
      </c>
    </row>
    <row r="12" spans="1:70" ht="95.25" customHeight="1" x14ac:dyDescent="0.25">
      <c r="A12" s="539" t="s">
        <v>1933</v>
      </c>
      <c r="B12" s="539" t="s">
        <v>2026</v>
      </c>
      <c r="C12" s="540" t="s">
        <v>2093</v>
      </c>
      <c r="D12" s="540">
        <v>40</v>
      </c>
      <c r="E12" s="740">
        <v>70</v>
      </c>
      <c r="F12" s="740">
        <v>70</v>
      </c>
      <c r="G12" s="741">
        <v>70</v>
      </c>
      <c r="H12" s="740">
        <v>40</v>
      </c>
      <c r="I12" s="541">
        <v>0</v>
      </c>
      <c r="J12" s="541">
        <v>0</v>
      </c>
      <c r="K12" s="541">
        <v>0</v>
      </c>
      <c r="L12" s="541"/>
      <c r="M12" s="542"/>
      <c r="N12" s="542"/>
      <c r="O12" s="542"/>
      <c r="P12" s="562">
        <f t="shared" si="38"/>
        <v>1</v>
      </c>
      <c r="Q12" s="562">
        <f t="shared" si="38"/>
        <v>0</v>
      </c>
      <c r="R12" s="562">
        <f t="shared" si="38"/>
        <v>0</v>
      </c>
      <c r="S12" s="562">
        <f t="shared" si="38"/>
        <v>0</v>
      </c>
      <c r="T12" s="552" t="s">
        <v>2429</v>
      </c>
      <c r="U12" s="629">
        <v>45657</v>
      </c>
      <c r="V12" s="544">
        <f t="shared" si="39"/>
        <v>250</v>
      </c>
      <c r="W12" s="544">
        <f t="shared" si="40"/>
        <v>40</v>
      </c>
      <c r="X12" s="549">
        <f t="shared" si="42"/>
        <v>0.16</v>
      </c>
      <c r="Y12" s="546">
        <v>0.5</v>
      </c>
      <c r="Z12" s="546">
        <v>0.5</v>
      </c>
      <c r="AA12" s="546">
        <v>0</v>
      </c>
      <c r="AB12" s="547">
        <v>0</v>
      </c>
      <c r="AC12" s="547">
        <v>0</v>
      </c>
      <c r="AD12" s="668">
        <f>+'Anexo 5.2 A'!BG8</f>
        <v>262307060</v>
      </c>
      <c r="AE12" s="730"/>
      <c r="AF12" s="730"/>
      <c r="AG12" s="730"/>
      <c r="AH12" s="675">
        <f>+'Anexo 5.2 A'!BH8</f>
        <v>241415463.45500001</v>
      </c>
      <c r="AI12" s="728"/>
      <c r="AJ12" s="743"/>
      <c r="AK12" s="743"/>
      <c r="AL12" s="549">
        <f t="shared" si="12"/>
        <v>0.9203544252869138</v>
      </c>
      <c r="AM12" s="549" t="e">
        <f t="shared" si="12"/>
        <v>#DIV/0!</v>
      </c>
      <c r="AN12" s="549" t="e">
        <f t="shared" si="12"/>
        <v>#DIV/0!</v>
      </c>
      <c r="AO12" s="549" t="e">
        <f t="shared" si="12"/>
        <v>#DIV/0!</v>
      </c>
      <c r="AP12" s="675">
        <f>+'Anexo 5.2 A'!BJ8</f>
        <v>233915463.45500001</v>
      </c>
      <c r="AQ12" s="675">
        <f>+'Anexo 5.2 A'!BK8</f>
        <v>0</v>
      </c>
      <c r="AR12" s="675">
        <f>+'Anexo 5.2 A'!BL8</f>
        <v>0</v>
      </c>
      <c r="AS12" s="675">
        <f>+'Anexo 5.2 A'!BM8</f>
        <v>0</v>
      </c>
      <c r="AT12" s="549">
        <f t="shared" si="17"/>
        <v>0.89176198099662285</v>
      </c>
      <c r="AU12" s="549" t="e">
        <f t="shared" si="17"/>
        <v>#DIV/0!</v>
      </c>
      <c r="AV12" s="549" t="e">
        <f t="shared" si="17"/>
        <v>#DIV/0!</v>
      </c>
      <c r="AW12" s="549" t="e">
        <f t="shared" si="17"/>
        <v>#DIV/0!</v>
      </c>
      <c r="AX12" s="676">
        <f t="shared" si="43"/>
        <v>7500000</v>
      </c>
      <c r="AY12" s="676">
        <f t="shared" si="41"/>
        <v>0</v>
      </c>
      <c r="AZ12" s="676">
        <f t="shared" si="41"/>
        <v>0</v>
      </c>
      <c r="BA12" s="676">
        <f t="shared" si="41"/>
        <v>0</v>
      </c>
      <c r="BB12" s="551"/>
      <c r="BC12" s="551"/>
      <c r="BD12" s="551"/>
      <c r="BE12" s="551"/>
      <c r="BF12" s="737">
        <f t="shared" si="23"/>
        <v>0</v>
      </c>
      <c r="BG12" s="737" t="e">
        <f t="shared" si="9"/>
        <v>#DIV/0!</v>
      </c>
      <c r="BH12" s="737" t="e">
        <f t="shared" si="9"/>
        <v>#DIV/0!</v>
      </c>
      <c r="BI12" s="547" t="e">
        <f t="shared" si="9"/>
        <v>#DIV/0!</v>
      </c>
      <c r="BJ12" s="730">
        <f t="shared" si="24"/>
        <v>262307060</v>
      </c>
      <c r="BK12" s="544">
        <f t="shared" si="25"/>
        <v>241415463.45500001</v>
      </c>
      <c r="BL12" s="553">
        <f t="shared" si="26"/>
        <v>0.9203544252869138</v>
      </c>
      <c r="BM12" s="544">
        <f t="shared" si="27"/>
        <v>233915463.45500001</v>
      </c>
      <c r="BN12" s="553">
        <f t="shared" si="10"/>
        <v>0.89176198099662285</v>
      </c>
      <c r="BO12" s="548"/>
      <c r="BP12" s="552" t="s">
        <v>2349</v>
      </c>
      <c r="BQ12" s="552" t="s">
        <v>2328</v>
      </c>
      <c r="BR12" s="554" t="s">
        <v>2321</v>
      </c>
    </row>
    <row r="13" spans="1:70" ht="53.25" customHeight="1" x14ac:dyDescent="0.25">
      <c r="A13" s="533" t="s">
        <v>1936</v>
      </c>
      <c r="B13" s="555"/>
      <c r="C13" s="556"/>
      <c r="D13" s="556"/>
      <c r="E13" s="557"/>
      <c r="F13" s="557"/>
      <c r="G13" s="557"/>
      <c r="H13" s="557"/>
      <c r="I13" s="557"/>
      <c r="J13" s="557"/>
      <c r="K13" s="557"/>
      <c r="L13" s="557"/>
      <c r="M13" s="557"/>
      <c r="N13" s="557"/>
      <c r="O13" s="557"/>
      <c r="P13" s="558">
        <f>+SUMPRODUCT(P14:P16,Z14:Z16)</f>
        <v>1</v>
      </c>
      <c r="Q13" s="558">
        <f>+SUMPRODUCT(Q14:Q16,AA14:AA16)</f>
        <v>0</v>
      </c>
      <c r="R13" s="558" t="e">
        <f>+SUMPRODUCT(R14:R16,AB14:AB16)</f>
        <v>#DIV/0!</v>
      </c>
      <c r="S13" s="558" t="e">
        <f>+SUMPRODUCT(S14:S16,AC14:AC16)</f>
        <v>#DIV/0!</v>
      </c>
      <c r="T13" s="656"/>
      <c r="U13" s="630"/>
      <c r="V13" s="559"/>
      <c r="W13" s="559"/>
      <c r="X13" s="560">
        <f>+SUMPRODUCT(X14:X16,Y14:Y16)</f>
        <v>0.25</v>
      </c>
      <c r="Y13" s="558">
        <v>0.6</v>
      </c>
      <c r="Z13" s="558">
        <v>0.6</v>
      </c>
      <c r="AA13" s="558">
        <v>0</v>
      </c>
      <c r="AB13" s="558">
        <v>0</v>
      </c>
      <c r="AC13" s="558">
        <v>0</v>
      </c>
      <c r="AD13" s="669">
        <f>SUM(AD14:AD16)</f>
        <v>453978483</v>
      </c>
      <c r="AE13" s="669">
        <f t="shared" ref="AE13:AG13" si="44">SUM(AE14:AE16)</f>
        <v>0</v>
      </c>
      <c r="AF13" s="669">
        <f t="shared" si="44"/>
        <v>0</v>
      </c>
      <c r="AG13" s="669">
        <f t="shared" si="44"/>
        <v>0</v>
      </c>
      <c r="AH13" s="669">
        <f>SUM(AH14:AH16)</f>
        <v>374264489.31999999</v>
      </c>
      <c r="AI13" s="669">
        <f t="shared" ref="AI13:AK13" si="45">SUM(AI14:AI16)</f>
        <v>0</v>
      </c>
      <c r="AJ13" s="669">
        <f t="shared" si="45"/>
        <v>0</v>
      </c>
      <c r="AK13" s="669">
        <f t="shared" si="45"/>
        <v>0</v>
      </c>
      <c r="AL13" s="560">
        <f t="shared" si="12"/>
        <v>0.82441019417213213</v>
      </c>
      <c r="AM13" s="560" t="e">
        <f t="shared" si="12"/>
        <v>#DIV/0!</v>
      </c>
      <c r="AN13" s="560" t="e">
        <f t="shared" si="12"/>
        <v>#DIV/0!</v>
      </c>
      <c r="AO13" s="560" t="e">
        <f t="shared" si="12"/>
        <v>#DIV/0!</v>
      </c>
      <c r="AP13" s="669">
        <f t="shared" ref="AP13" si="46">SUM(AP14:AP16)</f>
        <v>355764489.31999999</v>
      </c>
      <c r="AQ13" s="669">
        <f t="shared" ref="AQ13" si="47">SUM(AQ14:AQ16)</f>
        <v>0</v>
      </c>
      <c r="AR13" s="669">
        <f t="shared" ref="AR13" si="48">SUM(AR14:AR16)</f>
        <v>0</v>
      </c>
      <c r="AS13" s="669">
        <f t="shared" ref="AS13" si="49">SUM(AS14:AS16)</f>
        <v>0</v>
      </c>
      <c r="AT13" s="560">
        <f t="shared" si="17"/>
        <v>0.78365936413774917</v>
      </c>
      <c r="AU13" s="560" t="e">
        <f t="shared" si="17"/>
        <v>#DIV/0!</v>
      </c>
      <c r="AV13" s="560" t="e">
        <f t="shared" si="17"/>
        <v>#DIV/0!</v>
      </c>
      <c r="AW13" s="560" t="e">
        <f t="shared" si="17"/>
        <v>#DIV/0!</v>
      </c>
      <c r="AX13" s="669">
        <f>SUM(AX14:AX16)</f>
        <v>18500000</v>
      </c>
      <c r="AY13" s="669">
        <f t="shared" ref="AY13:BA13" si="50">SUM(AY14:AY16)</f>
        <v>0</v>
      </c>
      <c r="AZ13" s="669">
        <f t="shared" si="50"/>
        <v>0</v>
      </c>
      <c r="BA13" s="669">
        <f t="shared" si="50"/>
        <v>0</v>
      </c>
      <c r="BB13" s="669">
        <f t="shared" ref="BB13" si="51">SUM(BB14:BB16)</f>
        <v>0</v>
      </c>
      <c r="BC13" s="669">
        <f t="shared" ref="BC13" si="52">SUM(BC14:BC16)</f>
        <v>0</v>
      </c>
      <c r="BD13" s="669">
        <f t="shared" ref="BD13" si="53">SUM(BD14:BD16)</f>
        <v>0</v>
      </c>
      <c r="BE13" s="669">
        <f t="shared" ref="BE13" si="54">SUM(BE14:BE16)</f>
        <v>0</v>
      </c>
      <c r="BF13" s="734">
        <f t="shared" si="23"/>
        <v>0</v>
      </c>
      <c r="BG13" s="734" t="e">
        <f t="shared" si="9"/>
        <v>#DIV/0!</v>
      </c>
      <c r="BH13" s="734" t="e">
        <f t="shared" si="9"/>
        <v>#DIV/0!</v>
      </c>
      <c r="BI13" s="558" t="e">
        <f t="shared" si="9"/>
        <v>#DIV/0!</v>
      </c>
      <c r="BJ13" s="559">
        <f t="shared" si="24"/>
        <v>453978483</v>
      </c>
      <c r="BK13" s="559">
        <f t="shared" si="25"/>
        <v>374264489.31999999</v>
      </c>
      <c r="BL13" s="558">
        <f t="shared" si="26"/>
        <v>0.82441019417213213</v>
      </c>
      <c r="BM13" s="559">
        <f t="shared" si="27"/>
        <v>355764489.31999999</v>
      </c>
      <c r="BN13" s="558">
        <f t="shared" si="10"/>
        <v>0.78365936413774917</v>
      </c>
      <c r="BO13" s="556"/>
      <c r="BP13" s="765"/>
      <c r="BQ13" s="556"/>
      <c r="BR13" s="556"/>
    </row>
    <row r="14" spans="1:70" ht="53.25" customHeight="1" x14ac:dyDescent="0.25">
      <c r="A14" s="539" t="s">
        <v>1937</v>
      </c>
      <c r="B14" s="539" t="s">
        <v>2027</v>
      </c>
      <c r="C14" s="540" t="s">
        <v>2093</v>
      </c>
      <c r="D14" s="723">
        <v>0</v>
      </c>
      <c r="E14" s="740">
        <v>1</v>
      </c>
      <c r="F14" s="740">
        <v>0</v>
      </c>
      <c r="G14" s="741">
        <v>0</v>
      </c>
      <c r="H14" s="740">
        <v>0</v>
      </c>
      <c r="I14" s="540">
        <v>0</v>
      </c>
      <c r="J14" s="547"/>
      <c r="K14" s="547"/>
      <c r="L14" s="541"/>
      <c r="M14" s="561"/>
      <c r="N14" s="561"/>
      <c r="O14" s="561"/>
      <c r="P14" s="546" t="s">
        <v>2142</v>
      </c>
      <c r="Q14" s="545">
        <f t="shared" ref="P14:Q16" si="55">IF((I14+M14)/E14&gt;=100%,100%,(I14+M14)/E14)</f>
        <v>0</v>
      </c>
      <c r="R14" s="545" t="e">
        <f t="shared" ref="R14:S16" si="56">IF(J14/F14&gt;=100%,100%,J14/F14)</f>
        <v>#DIV/0!</v>
      </c>
      <c r="S14" s="545" t="e">
        <f t="shared" si="56"/>
        <v>#DIV/0!</v>
      </c>
      <c r="T14" s="562" t="s">
        <v>2142</v>
      </c>
      <c r="U14" s="629">
        <v>45657</v>
      </c>
      <c r="V14" s="544">
        <f>SUM(D14:G14)</f>
        <v>1</v>
      </c>
      <c r="W14" s="544">
        <f>SUM(H14:N14)</f>
        <v>0</v>
      </c>
      <c r="X14" s="549">
        <f t="shared" ref="X14:X16" si="57">IF(W14/V14&gt;=100%,100%,W14/V14)</f>
        <v>0</v>
      </c>
      <c r="Y14" s="546" t="s">
        <v>2142</v>
      </c>
      <c r="Z14" s="546" t="s">
        <v>2142</v>
      </c>
      <c r="AA14" s="546">
        <v>0</v>
      </c>
      <c r="AB14" s="547">
        <v>0</v>
      </c>
      <c r="AC14" s="547">
        <v>0</v>
      </c>
      <c r="AD14" s="668">
        <f>+'Anexo 5.2 A'!BG10</f>
        <v>0</v>
      </c>
      <c r="AE14" s="730"/>
      <c r="AF14" s="730"/>
      <c r="AG14" s="730"/>
      <c r="AH14" s="675">
        <f>+'Anexo 5.2 A'!BH10</f>
        <v>0</v>
      </c>
      <c r="AI14" s="728"/>
      <c r="AJ14" s="743"/>
      <c r="AK14" s="743"/>
      <c r="AL14" s="549" t="e">
        <f t="shared" si="12"/>
        <v>#DIV/0!</v>
      </c>
      <c r="AM14" s="549" t="e">
        <f t="shared" si="12"/>
        <v>#DIV/0!</v>
      </c>
      <c r="AN14" s="549" t="e">
        <f t="shared" si="12"/>
        <v>#DIV/0!</v>
      </c>
      <c r="AO14" s="549" t="e">
        <f t="shared" si="12"/>
        <v>#DIV/0!</v>
      </c>
      <c r="AP14" s="675">
        <f>+'Anexo 5.2 A'!BJ10</f>
        <v>0</v>
      </c>
      <c r="AQ14" s="675">
        <f>+'Anexo 5.2 A'!BK10</f>
        <v>0</v>
      </c>
      <c r="AR14" s="675">
        <f>+'Anexo 5.2 A'!BL10</f>
        <v>0</v>
      </c>
      <c r="AS14" s="675">
        <f>+'Anexo 5.2 A'!BM10</f>
        <v>0</v>
      </c>
      <c r="AT14" s="549" t="e">
        <f t="shared" si="17"/>
        <v>#DIV/0!</v>
      </c>
      <c r="AU14" s="549" t="e">
        <f t="shared" si="17"/>
        <v>#DIV/0!</v>
      </c>
      <c r="AV14" s="549" t="e">
        <f t="shared" si="17"/>
        <v>#DIV/0!</v>
      </c>
      <c r="AW14" s="549" t="e">
        <f t="shared" si="17"/>
        <v>#DIV/0!</v>
      </c>
      <c r="AX14" s="676">
        <f>+AH14-AP14</f>
        <v>0</v>
      </c>
      <c r="AY14" s="676">
        <f t="shared" ref="AY14:BA16" si="58">+AI14-AQ14</f>
        <v>0</v>
      </c>
      <c r="AZ14" s="676">
        <f t="shared" si="58"/>
        <v>0</v>
      </c>
      <c r="BA14" s="676">
        <f t="shared" si="58"/>
        <v>0</v>
      </c>
      <c r="BB14" s="551"/>
      <c r="BC14" s="551"/>
      <c r="BD14" s="551"/>
      <c r="BE14" s="551"/>
      <c r="BF14" s="737" t="e">
        <f t="shared" si="23"/>
        <v>#DIV/0!</v>
      </c>
      <c r="BG14" s="737" t="e">
        <f t="shared" si="9"/>
        <v>#DIV/0!</v>
      </c>
      <c r="BH14" s="737" t="e">
        <f t="shared" si="9"/>
        <v>#DIV/0!</v>
      </c>
      <c r="BI14" s="547" t="e">
        <f t="shared" si="9"/>
        <v>#DIV/0!</v>
      </c>
      <c r="BJ14" s="730">
        <f t="shared" si="24"/>
        <v>0</v>
      </c>
      <c r="BK14" s="544">
        <f t="shared" si="25"/>
        <v>0</v>
      </c>
      <c r="BL14" s="553" t="e">
        <f t="shared" si="26"/>
        <v>#DIV/0!</v>
      </c>
      <c r="BM14" s="544">
        <f t="shared" si="27"/>
        <v>0</v>
      </c>
      <c r="BN14" s="553" t="e">
        <f t="shared" si="10"/>
        <v>#DIV/0!</v>
      </c>
      <c r="BO14" s="548"/>
      <c r="BP14" s="552" t="s">
        <v>2349</v>
      </c>
      <c r="BQ14" s="552" t="s">
        <v>2328</v>
      </c>
      <c r="BR14" s="552" t="s">
        <v>2321</v>
      </c>
    </row>
    <row r="15" spans="1:70" ht="111" customHeight="1" x14ac:dyDescent="0.25">
      <c r="A15" s="539" t="s">
        <v>2134</v>
      </c>
      <c r="B15" s="539" t="s">
        <v>2028</v>
      </c>
      <c r="C15" s="540" t="s">
        <v>2094</v>
      </c>
      <c r="D15" s="723">
        <v>100</v>
      </c>
      <c r="E15" s="740">
        <v>100</v>
      </c>
      <c r="F15" s="740">
        <v>100</v>
      </c>
      <c r="G15" s="741">
        <v>100</v>
      </c>
      <c r="H15" s="740">
        <v>100</v>
      </c>
      <c r="I15" s="540">
        <v>0</v>
      </c>
      <c r="J15" s="547"/>
      <c r="K15" s="547"/>
      <c r="L15" s="562"/>
      <c r="M15" s="563"/>
      <c r="N15" s="563"/>
      <c r="O15" s="563"/>
      <c r="P15" s="562">
        <f t="shared" si="55"/>
        <v>1</v>
      </c>
      <c r="Q15" s="545">
        <f t="shared" si="55"/>
        <v>0</v>
      </c>
      <c r="R15" s="545">
        <f t="shared" si="56"/>
        <v>0</v>
      </c>
      <c r="S15" s="545">
        <f t="shared" si="56"/>
        <v>0</v>
      </c>
      <c r="T15" s="380" t="s">
        <v>2431</v>
      </c>
      <c r="U15" s="629">
        <v>45657</v>
      </c>
      <c r="V15" s="544">
        <f>SUM(D15:G15)</f>
        <v>400</v>
      </c>
      <c r="W15" s="544">
        <f>SUM(H15:N15)</f>
        <v>100</v>
      </c>
      <c r="X15" s="549">
        <f t="shared" si="57"/>
        <v>0.25</v>
      </c>
      <c r="Y15" s="546">
        <v>1</v>
      </c>
      <c r="Z15" s="546">
        <v>1</v>
      </c>
      <c r="AA15" s="546">
        <v>0</v>
      </c>
      <c r="AB15" s="547">
        <v>0</v>
      </c>
      <c r="AC15" s="547">
        <v>0</v>
      </c>
      <c r="AD15" s="668">
        <f>+'Anexo 5.2 A'!BG11</f>
        <v>453978483</v>
      </c>
      <c r="AE15" s="730"/>
      <c r="AF15" s="730"/>
      <c r="AG15" s="730"/>
      <c r="AH15" s="675">
        <f>+'Anexo 5.2 A'!BH11</f>
        <v>374264489.31999999</v>
      </c>
      <c r="AI15" s="728"/>
      <c r="AJ15" s="743"/>
      <c r="AK15" s="743"/>
      <c r="AL15" s="549">
        <f t="shared" si="12"/>
        <v>0.82441019417213213</v>
      </c>
      <c r="AM15" s="549" t="e">
        <f t="shared" si="12"/>
        <v>#DIV/0!</v>
      </c>
      <c r="AN15" s="549" t="e">
        <f t="shared" si="12"/>
        <v>#DIV/0!</v>
      </c>
      <c r="AO15" s="549" t="e">
        <f t="shared" si="12"/>
        <v>#DIV/0!</v>
      </c>
      <c r="AP15" s="675">
        <f>+'Anexo 5.2 A'!BJ11</f>
        <v>355764489.31999999</v>
      </c>
      <c r="AQ15" s="675">
        <f>+'Anexo 5.2 A'!BK11</f>
        <v>0</v>
      </c>
      <c r="AR15" s="675">
        <f>+'Anexo 5.2 A'!BL11</f>
        <v>0</v>
      </c>
      <c r="AS15" s="675">
        <f>+'Anexo 5.2 A'!BM11</f>
        <v>0</v>
      </c>
      <c r="AT15" s="549">
        <f t="shared" si="17"/>
        <v>0.78365936413774917</v>
      </c>
      <c r="AU15" s="549" t="e">
        <f t="shared" si="17"/>
        <v>#DIV/0!</v>
      </c>
      <c r="AV15" s="549" t="e">
        <f t="shared" si="17"/>
        <v>#DIV/0!</v>
      </c>
      <c r="AW15" s="549" t="e">
        <f t="shared" si="17"/>
        <v>#DIV/0!</v>
      </c>
      <c r="AX15" s="676">
        <f t="shared" ref="AX15:AX16" si="59">+AH15-AP15</f>
        <v>18500000</v>
      </c>
      <c r="AY15" s="676">
        <f t="shared" si="58"/>
        <v>0</v>
      </c>
      <c r="AZ15" s="676">
        <f t="shared" si="58"/>
        <v>0</v>
      </c>
      <c r="BA15" s="676">
        <f t="shared" si="58"/>
        <v>0</v>
      </c>
      <c r="BB15" s="551"/>
      <c r="BC15" s="551"/>
      <c r="BD15" s="551"/>
      <c r="BE15" s="551"/>
      <c r="BF15" s="737">
        <f t="shared" si="23"/>
        <v>0</v>
      </c>
      <c r="BG15" s="737" t="e">
        <f t="shared" si="9"/>
        <v>#DIV/0!</v>
      </c>
      <c r="BH15" s="737" t="e">
        <f t="shared" si="9"/>
        <v>#DIV/0!</v>
      </c>
      <c r="BI15" s="547" t="e">
        <f t="shared" si="9"/>
        <v>#DIV/0!</v>
      </c>
      <c r="BJ15" s="730">
        <f t="shared" si="24"/>
        <v>453978483</v>
      </c>
      <c r="BK15" s="544">
        <f t="shared" si="25"/>
        <v>374264489.31999999</v>
      </c>
      <c r="BL15" s="553">
        <f t="shared" si="26"/>
        <v>0.82441019417213213</v>
      </c>
      <c r="BM15" s="544">
        <f t="shared" si="27"/>
        <v>355764489.31999999</v>
      </c>
      <c r="BN15" s="553">
        <f t="shared" si="10"/>
        <v>0.78365936413774917</v>
      </c>
      <c r="BO15" s="548"/>
      <c r="BP15" s="552" t="s">
        <v>2349</v>
      </c>
      <c r="BQ15" s="552" t="s">
        <v>2328</v>
      </c>
      <c r="BR15" s="552" t="s">
        <v>2321</v>
      </c>
    </row>
    <row r="16" spans="1:70" ht="53.25" customHeight="1" x14ac:dyDescent="0.25">
      <c r="A16" s="539" t="s">
        <v>1938</v>
      </c>
      <c r="B16" s="539" t="s">
        <v>2029</v>
      </c>
      <c r="C16" s="540" t="s">
        <v>2094</v>
      </c>
      <c r="D16" s="540">
        <v>0</v>
      </c>
      <c r="E16" s="740">
        <v>10</v>
      </c>
      <c r="F16" s="740">
        <v>15</v>
      </c>
      <c r="G16" s="741">
        <v>20</v>
      </c>
      <c r="H16" s="740">
        <v>0</v>
      </c>
      <c r="I16" s="540">
        <v>0</v>
      </c>
      <c r="J16" s="541"/>
      <c r="K16" s="541"/>
      <c r="L16" s="541"/>
      <c r="M16" s="542"/>
      <c r="N16" s="542"/>
      <c r="O16" s="542"/>
      <c r="P16" s="546" t="s">
        <v>2142</v>
      </c>
      <c r="Q16" s="545">
        <f t="shared" si="55"/>
        <v>0</v>
      </c>
      <c r="R16" s="545">
        <f t="shared" si="56"/>
        <v>0</v>
      </c>
      <c r="S16" s="545">
        <f t="shared" si="56"/>
        <v>0</v>
      </c>
      <c r="T16" s="562" t="s">
        <v>2142</v>
      </c>
      <c r="U16" s="629">
        <v>45657</v>
      </c>
      <c r="V16" s="544">
        <f>SUM(D16:G16)</f>
        <v>45</v>
      </c>
      <c r="W16" s="544">
        <f>SUM(H16:N16)</f>
        <v>0</v>
      </c>
      <c r="X16" s="549">
        <f t="shared" si="57"/>
        <v>0</v>
      </c>
      <c r="Y16" s="546" t="s">
        <v>2142</v>
      </c>
      <c r="Z16" s="546" t="s">
        <v>2142</v>
      </c>
      <c r="AA16" s="546">
        <v>0</v>
      </c>
      <c r="AB16" s="547">
        <v>0</v>
      </c>
      <c r="AC16" s="547">
        <v>0</v>
      </c>
      <c r="AD16" s="668">
        <f>+'Anexo 5.2 A'!BG12</f>
        <v>0</v>
      </c>
      <c r="AE16" s="730"/>
      <c r="AF16" s="730"/>
      <c r="AG16" s="730"/>
      <c r="AH16" s="675">
        <f>+'Anexo 5.2 A'!BH12</f>
        <v>0</v>
      </c>
      <c r="AI16" s="728"/>
      <c r="AJ16" s="743"/>
      <c r="AK16" s="743"/>
      <c r="AL16" s="549" t="e">
        <f t="shared" si="12"/>
        <v>#DIV/0!</v>
      </c>
      <c r="AM16" s="549" t="e">
        <f t="shared" si="12"/>
        <v>#DIV/0!</v>
      </c>
      <c r="AN16" s="549" t="e">
        <f t="shared" si="12"/>
        <v>#DIV/0!</v>
      </c>
      <c r="AO16" s="549" t="e">
        <f t="shared" si="12"/>
        <v>#DIV/0!</v>
      </c>
      <c r="AP16" s="675">
        <f>+'Anexo 5.2 A'!BJ12</f>
        <v>0</v>
      </c>
      <c r="AQ16" s="675">
        <f>+'Anexo 5.2 A'!BK12</f>
        <v>0</v>
      </c>
      <c r="AR16" s="675">
        <f>+'Anexo 5.2 A'!BL12</f>
        <v>0</v>
      </c>
      <c r="AS16" s="675">
        <f>+'Anexo 5.2 A'!BM12</f>
        <v>0</v>
      </c>
      <c r="AT16" s="549" t="e">
        <f t="shared" si="17"/>
        <v>#DIV/0!</v>
      </c>
      <c r="AU16" s="549" t="e">
        <f t="shared" si="17"/>
        <v>#DIV/0!</v>
      </c>
      <c r="AV16" s="549" t="e">
        <f t="shared" si="17"/>
        <v>#DIV/0!</v>
      </c>
      <c r="AW16" s="549" t="e">
        <f t="shared" si="17"/>
        <v>#DIV/0!</v>
      </c>
      <c r="AX16" s="676">
        <f t="shared" si="59"/>
        <v>0</v>
      </c>
      <c r="AY16" s="676">
        <f t="shared" si="58"/>
        <v>0</v>
      </c>
      <c r="AZ16" s="676">
        <f t="shared" si="58"/>
        <v>0</v>
      </c>
      <c r="BA16" s="676">
        <f t="shared" si="58"/>
        <v>0</v>
      </c>
      <c r="BB16" s="551"/>
      <c r="BC16" s="551"/>
      <c r="BD16" s="551"/>
      <c r="BE16" s="551"/>
      <c r="BF16" s="737" t="e">
        <f t="shared" si="23"/>
        <v>#DIV/0!</v>
      </c>
      <c r="BG16" s="737" t="e">
        <f t="shared" si="9"/>
        <v>#DIV/0!</v>
      </c>
      <c r="BH16" s="737" t="e">
        <f t="shared" si="9"/>
        <v>#DIV/0!</v>
      </c>
      <c r="BI16" s="547" t="e">
        <f t="shared" si="9"/>
        <v>#DIV/0!</v>
      </c>
      <c r="BJ16" s="730">
        <f t="shared" si="24"/>
        <v>0</v>
      </c>
      <c r="BK16" s="544">
        <f t="shared" si="25"/>
        <v>0</v>
      </c>
      <c r="BL16" s="553" t="e">
        <f t="shared" si="26"/>
        <v>#DIV/0!</v>
      </c>
      <c r="BM16" s="544">
        <f t="shared" si="27"/>
        <v>0</v>
      </c>
      <c r="BN16" s="553" t="e">
        <f t="shared" si="10"/>
        <v>#DIV/0!</v>
      </c>
      <c r="BO16" s="548"/>
      <c r="BP16" s="552" t="s">
        <v>2349</v>
      </c>
      <c r="BQ16" s="552" t="s">
        <v>2328</v>
      </c>
      <c r="BR16" s="552" t="s">
        <v>2321</v>
      </c>
    </row>
    <row r="17" spans="1:70" s="636" customFormat="1" ht="53.25" customHeight="1" x14ac:dyDescent="0.25">
      <c r="A17" s="521" t="s">
        <v>1934</v>
      </c>
      <c r="B17" s="521"/>
      <c r="C17" s="531"/>
      <c r="D17" s="531"/>
      <c r="E17" s="524"/>
      <c r="F17" s="524"/>
      <c r="G17" s="524"/>
      <c r="H17" s="524"/>
      <c r="I17" s="524"/>
      <c r="J17" s="524"/>
      <c r="K17" s="524"/>
      <c r="L17" s="524"/>
      <c r="M17" s="524"/>
      <c r="N17" s="524"/>
      <c r="O17" s="524"/>
      <c r="P17" s="570">
        <f>+(P18*Z18)+(P21*Z21)</f>
        <v>1</v>
      </c>
      <c r="Q17" s="525">
        <f>+(Q18*AA18)+(Q21*AA21)</f>
        <v>0</v>
      </c>
      <c r="R17" s="525">
        <f>+(R18*AB18)+(R21*AB21)</f>
        <v>0</v>
      </c>
      <c r="S17" s="525">
        <f>+(S18*AC18)+(S21*AC21)</f>
        <v>0</v>
      </c>
      <c r="T17" s="531"/>
      <c r="U17" s="528"/>
      <c r="V17" s="530"/>
      <c r="W17" s="530"/>
      <c r="X17" s="626">
        <f>+(X18*Y18)+(X21*Y21)</f>
        <v>0.25</v>
      </c>
      <c r="Y17" s="529">
        <v>0.5</v>
      </c>
      <c r="Z17" s="529">
        <v>0.5</v>
      </c>
      <c r="AA17" s="529"/>
      <c r="AB17" s="529"/>
      <c r="AC17" s="529"/>
      <c r="AD17" s="666">
        <f t="shared" ref="AD17:AH17" si="60">+AD18+AD21</f>
        <v>2757575287</v>
      </c>
      <c r="AE17" s="666">
        <f t="shared" si="60"/>
        <v>0</v>
      </c>
      <c r="AF17" s="666">
        <f t="shared" si="60"/>
        <v>0</v>
      </c>
      <c r="AG17" s="666">
        <f t="shared" si="60"/>
        <v>0</v>
      </c>
      <c r="AH17" s="666">
        <f t="shared" si="60"/>
        <v>2747953283.9200001</v>
      </c>
      <c r="AI17" s="666">
        <f t="shared" ref="AI17:AK17" si="61">+AI18+AI21</f>
        <v>0</v>
      </c>
      <c r="AJ17" s="666">
        <f t="shared" si="61"/>
        <v>0</v>
      </c>
      <c r="AK17" s="666">
        <f t="shared" si="61"/>
        <v>0</v>
      </c>
      <c r="AL17" s="532">
        <f t="shared" si="12"/>
        <v>0.99651070158433719</v>
      </c>
      <c r="AM17" s="532" t="e">
        <f t="shared" si="12"/>
        <v>#DIV/0!</v>
      </c>
      <c r="AN17" s="532" t="e">
        <f t="shared" si="12"/>
        <v>#DIV/0!</v>
      </c>
      <c r="AO17" s="532" t="e">
        <f t="shared" si="12"/>
        <v>#DIV/0!</v>
      </c>
      <c r="AP17" s="666">
        <f t="shared" ref="AP17:AS17" si="62">+AP18+AP21</f>
        <v>2747953283.9200001</v>
      </c>
      <c r="AQ17" s="666">
        <f t="shared" si="62"/>
        <v>0</v>
      </c>
      <c r="AR17" s="666">
        <f t="shared" si="62"/>
        <v>0</v>
      </c>
      <c r="AS17" s="666">
        <f t="shared" si="62"/>
        <v>0</v>
      </c>
      <c r="AT17" s="532">
        <f t="shared" si="17"/>
        <v>0.99651070158433719</v>
      </c>
      <c r="AU17" s="532" t="e">
        <f t="shared" si="17"/>
        <v>#DIV/0!</v>
      </c>
      <c r="AV17" s="532" t="e">
        <f t="shared" si="17"/>
        <v>#DIV/0!</v>
      </c>
      <c r="AW17" s="532" t="e">
        <f t="shared" si="17"/>
        <v>#DIV/0!</v>
      </c>
      <c r="AX17" s="666">
        <f t="shared" ref="AX17:BA17" si="63">+AX18+AX21</f>
        <v>0</v>
      </c>
      <c r="AY17" s="666">
        <f t="shared" si="63"/>
        <v>0</v>
      </c>
      <c r="AZ17" s="666">
        <f t="shared" si="63"/>
        <v>0</v>
      </c>
      <c r="BA17" s="666">
        <f t="shared" si="63"/>
        <v>0</v>
      </c>
      <c r="BB17" s="666">
        <f t="shared" ref="BB17:BE17" si="64">+BB18+BB21</f>
        <v>0</v>
      </c>
      <c r="BC17" s="666">
        <f t="shared" si="64"/>
        <v>0</v>
      </c>
      <c r="BD17" s="666">
        <f t="shared" si="64"/>
        <v>0</v>
      </c>
      <c r="BE17" s="666">
        <f t="shared" si="64"/>
        <v>0</v>
      </c>
      <c r="BF17" s="732" t="e">
        <f t="shared" si="23"/>
        <v>#DIV/0!</v>
      </c>
      <c r="BG17" s="732" t="e">
        <f t="shared" si="23"/>
        <v>#DIV/0!</v>
      </c>
      <c r="BH17" s="732" t="e">
        <f t="shared" si="23"/>
        <v>#DIV/0!</v>
      </c>
      <c r="BI17" s="529" t="e">
        <f t="shared" si="23"/>
        <v>#DIV/0!</v>
      </c>
      <c r="BJ17" s="530">
        <f t="shared" si="24"/>
        <v>2757575287</v>
      </c>
      <c r="BK17" s="530">
        <f t="shared" si="25"/>
        <v>2747953283.9200001</v>
      </c>
      <c r="BL17" s="529">
        <f t="shared" si="26"/>
        <v>0.99651070158433719</v>
      </c>
      <c r="BM17" s="530">
        <f t="shared" si="27"/>
        <v>2747953283.9200001</v>
      </c>
      <c r="BN17" s="529">
        <f t="shared" si="10"/>
        <v>0.99651070158433719</v>
      </c>
      <c r="BO17" s="531"/>
      <c r="BP17" s="522"/>
      <c r="BQ17" s="531"/>
      <c r="BR17" s="531"/>
    </row>
    <row r="18" spans="1:70" ht="53.25" customHeight="1" x14ac:dyDescent="0.25">
      <c r="A18" s="533" t="s">
        <v>1939</v>
      </c>
      <c r="B18" s="555"/>
      <c r="C18" s="556"/>
      <c r="D18" s="556"/>
      <c r="E18" s="557"/>
      <c r="F18" s="557"/>
      <c r="G18" s="557"/>
      <c r="H18" s="557"/>
      <c r="I18" s="558"/>
      <c r="J18" s="558"/>
      <c r="K18" s="558"/>
      <c r="L18" s="558"/>
      <c r="M18" s="558"/>
      <c r="N18" s="558"/>
      <c r="O18" s="558"/>
      <c r="P18" s="558">
        <f>+SUMPRODUCT(P19:P20,Z19:Z20)</f>
        <v>0</v>
      </c>
      <c r="Q18" s="558">
        <f>+SUMPRODUCT(Q19:Q20,AA19:AA20)</f>
        <v>0</v>
      </c>
      <c r="R18" s="558">
        <f>+SUMPRODUCT(R19:R20,AB19:AB20)</f>
        <v>0</v>
      </c>
      <c r="S18" s="558">
        <f>+SUMPRODUCT(S19:S20,AC19:AC20)</f>
        <v>0</v>
      </c>
      <c r="T18" s="556"/>
      <c r="U18" s="631"/>
      <c r="V18" s="559"/>
      <c r="W18" s="559"/>
      <c r="X18" s="560">
        <f>+SUMPRODUCT(X19:X20,Y19:Y20)</f>
        <v>0</v>
      </c>
      <c r="Y18" s="558">
        <v>0</v>
      </c>
      <c r="Z18" s="558">
        <v>0</v>
      </c>
      <c r="AA18" s="558"/>
      <c r="AB18" s="558"/>
      <c r="AC18" s="558"/>
      <c r="AD18" s="669">
        <f t="shared" ref="AD18:AH18" si="65">SUM(AD19:AD20)</f>
        <v>0</v>
      </c>
      <c r="AE18" s="669">
        <f t="shared" si="65"/>
        <v>0</v>
      </c>
      <c r="AF18" s="669">
        <f t="shared" si="65"/>
        <v>0</v>
      </c>
      <c r="AG18" s="669">
        <f t="shared" si="65"/>
        <v>0</v>
      </c>
      <c r="AH18" s="669">
        <f t="shared" si="65"/>
        <v>0</v>
      </c>
      <c r="AI18" s="669">
        <f t="shared" ref="AI18:AK18" si="66">SUM(AI19:AI20)</f>
        <v>0</v>
      </c>
      <c r="AJ18" s="669">
        <f t="shared" si="66"/>
        <v>0</v>
      </c>
      <c r="AK18" s="669">
        <f t="shared" si="66"/>
        <v>0</v>
      </c>
      <c r="AL18" s="560" t="e">
        <f t="shared" si="12"/>
        <v>#DIV/0!</v>
      </c>
      <c r="AM18" s="560" t="e">
        <f t="shared" si="12"/>
        <v>#DIV/0!</v>
      </c>
      <c r="AN18" s="560" t="e">
        <f t="shared" si="12"/>
        <v>#DIV/0!</v>
      </c>
      <c r="AO18" s="560" t="e">
        <f t="shared" si="12"/>
        <v>#DIV/0!</v>
      </c>
      <c r="AP18" s="669">
        <f t="shared" ref="AP18:AS18" si="67">SUM(AP19:AP20)</f>
        <v>0</v>
      </c>
      <c r="AQ18" s="669">
        <f t="shared" si="67"/>
        <v>0</v>
      </c>
      <c r="AR18" s="669">
        <f t="shared" si="67"/>
        <v>0</v>
      </c>
      <c r="AS18" s="669">
        <f t="shared" si="67"/>
        <v>0</v>
      </c>
      <c r="AT18" s="560" t="e">
        <f t="shared" si="17"/>
        <v>#DIV/0!</v>
      </c>
      <c r="AU18" s="560" t="e">
        <f t="shared" si="17"/>
        <v>#DIV/0!</v>
      </c>
      <c r="AV18" s="560" t="e">
        <f t="shared" si="17"/>
        <v>#DIV/0!</v>
      </c>
      <c r="AW18" s="560" t="e">
        <f t="shared" si="17"/>
        <v>#DIV/0!</v>
      </c>
      <c r="AX18" s="669">
        <f t="shared" ref="AX18:BA18" si="68">SUM(AX19:AX20)</f>
        <v>0</v>
      </c>
      <c r="AY18" s="669">
        <f t="shared" si="68"/>
        <v>0</v>
      </c>
      <c r="AZ18" s="669">
        <f t="shared" si="68"/>
        <v>0</v>
      </c>
      <c r="BA18" s="669">
        <f t="shared" si="68"/>
        <v>0</v>
      </c>
      <c r="BB18" s="669">
        <f t="shared" ref="BB18:BE18" si="69">SUM(BB19:BB20)</f>
        <v>0</v>
      </c>
      <c r="BC18" s="669">
        <f t="shared" si="69"/>
        <v>0</v>
      </c>
      <c r="BD18" s="669">
        <f t="shared" si="69"/>
        <v>0</v>
      </c>
      <c r="BE18" s="669">
        <f t="shared" si="69"/>
        <v>0</v>
      </c>
      <c r="BF18" s="734" t="e">
        <f t="shared" si="23"/>
        <v>#DIV/0!</v>
      </c>
      <c r="BG18" s="734" t="e">
        <f t="shared" si="23"/>
        <v>#DIV/0!</v>
      </c>
      <c r="BH18" s="734" t="e">
        <f t="shared" si="23"/>
        <v>#DIV/0!</v>
      </c>
      <c r="BI18" s="558" t="e">
        <f t="shared" si="23"/>
        <v>#DIV/0!</v>
      </c>
      <c r="BJ18" s="559">
        <f t="shared" si="24"/>
        <v>0</v>
      </c>
      <c r="BK18" s="559">
        <f t="shared" si="25"/>
        <v>0</v>
      </c>
      <c r="BL18" s="558" t="e">
        <f t="shared" si="26"/>
        <v>#DIV/0!</v>
      </c>
      <c r="BM18" s="559">
        <f t="shared" si="27"/>
        <v>0</v>
      </c>
      <c r="BN18" s="558" t="e">
        <f t="shared" si="10"/>
        <v>#DIV/0!</v>
      </c>
      <c r="BO18" s="556"/>
      <c r="BP18" s="765"/>
      <c r="BQ18" s="556"/>
      <c r="BR18" s="556"/>
    </row>
    <row r="19" spans="1:70" ht="53.25" customHeight="1" x14ac:dyDescent="0.25">
      <c r="A19" s="539" t="s">
        <v>1935</v>
      </c>
      <c r="B19" s="539" t="s">
        <v>2030</v>
      </c>
      <c r="C19" s="540" t="s">
        <v>2093</v>
      </c>
      <c r="D19" s="540">
        <v>0</v>
      </c>
      <c r="E19" s="740">
        <v>1</v>
      </c>
      <c r="F19" s="740">
        <v>1</v>
      </c>
      <c r="G19" s="741">
        <v>1</v>
      </c>
      <c r="H19" s="740">
        <v>0</v>
      </c>
      <c r="I19" s="541">
        <v>0</v>
      </c>
      <c r="J19" s="541"/>
      <c r="K19" s="541"/>
      <c r="L19" s="541"/>
      <c r="M19" s="542"/>
      <c r="N19" s="542"/>
      <c r="O19" s="542"/>
      <c r="P19" s="546" t="s">
        <v>2142</v>
      </c>
      <c r="Q19" s="545">
        <f t="shared" ref="Q19:S20" si="70">IF((I19+M19)/E19&gt;=100%,100%,(I19+M19)/E19)</f>
        <v>0</v>
      </c>
      <c r="R19" s="545">
        <f t="shared" si="70"/>
        <v>0</v>
      </c>
      <c r="S19" s="545">
        <f t="shared" si="70"/>
        <v>0</v>
      </c>
      <c r="T19" s="562" t="s">
        <v>2142</v>
      </c>
      <c r="U19" s="629">
        <v>45657</v>
      </c>
      <c r="V19" s="544">
        <f>SUM(D19:G19)</f>
        <v>3</v>
      </c>
      <c r="W19" s="544">
        <f>SUM(H19:N19)</f>
        <v>0</v>
      </c>
      <c r="X19" s="549">
        <f t="shared" ref="X19:X20" si="71">IF(W19/V19&gt;=100%,100%,W19/V19)</f>
        <v>0</v>
      </c>
      <c r="Y19" s="546" t="s">
        <v>2142</v>
      </c>
      <c r="Z19" s="546" t="s">
        <v>2142</v>
      </c>
      <c r="AA19" s="546"/>
      <c r="AB19" s="547"/>
      <c r="AC19" s="547"/>
      <c r="AD19" s="668">
        <f>+'Anexo 5.2 A'!BG15</f>
        <v>0</v>
      </c>
      <c r="AE19" s="730"/>
      <c r="AF19" s="730"/>
      <c r="AG19" s="730"/>
      <c r="AH19" s="675">
        <f>+'Anexo 5.2 A'!BH15</f>
        <v>0</v>
      </c>
      <c r="AI19" s="728"/>
      <c r="AJ19" s="743"/>
      <c r="AK19" s="743"/>
      <c r="AL19" s="549" t="e">
        <f t="shared" si="12"/>
        <v>#DIV/0!</v>
      </c>
      <c r="AM19" s="549" t="e">
        <f t="shared" si="12"/>
        <v>#DIV/0!</v>
      </c>
      <c r="AN19" s="549" t="e">
        <f t="shared" si="12"/>
        <v>#DIV/0!</v>
      </c>
      <c r="AO19" s="549" t="e">
        <f t="shared" si="12"/>
        <v>#DIV/0!</v>
      </c>
      <c r="AP19" s="675">
        <f>+'Anexo 5.2 A'!BJ15</f>
        <v>0</v>
      </c>
      <c r="AQ19" s="675">
        <f>+'Anexo 5.2 A'!BK15</f>
        <v>0</v>
      </c>
      <c r="AR19" s="675">
        <f>+'Anexo 5.2 A'!BL15</f>
        <v>0</v>
      </c>
      <c r="AS19" s="675">
        <f>+'Anexo 5.2 A'!BM15</f>
        <v>0</v>
      </c>
      <c r="AT19" s="549" t="e">
        <f t="shared" si="17"/>
        <v>#DIV/0!</v>
      </c>
      <c r="AU19" s="549" t="e">
        <f t="shared" si="17"/>
        <v>#DIV/0!</v>
      </c>
      <c r="AV19" s="549" t="e">
        <f t="shared" si="17"/>
        <v>#DIV/0!</v>
      </c>
      <c r="AW19" s="549" t="e">
        <f t="shared" si="17"/>
        <v>#DIV/0!</v>
      </c>
      <c r="AX19" s="676">
        <f>+AH19-AP19</f>
        <v>0</v>
      </c>
      <c r="AY19" s="676">
        <f t="shared" ref="AY19:BA20" si="72">+AI19-AQ19</f>
        <v>0</v>
      </c>
      <c r="AZ19" s="676">
        <f t="shared" si="72"/>
        <v>0</v>
      </c>
      <c r="BA19" s="676">
        <f t="shared" si="72"/>
        <v>0</v>
      </c>
      <c r="BB19" s="551"/>
      <c r="BC19" s="551"/>
      <c r="BD19" s="551"/>
      <c r="BE19" s="551"/>
      <c r="BF19" s="737" t="e">
        <f t="shared" si="23"/>
        <v>#DIV/0!</v>
      </c>
      <c r="BG19" s="737" t="e">
        <f t="shared" si="23"/>
        <v>#DIV/0!</v>
      </c>
      <c r="BH19" s="737" t="e">
        <f t="shared" si="23"/>
        <v>#DIV/0!</v>
      </c>
      <c r="BI19" s="547" t="e">
        <f t="shared" si="23"/>
        <v>#DIV/0!</v>
      </c>
      <c r="BJ19" s="730">
        <f t="shared" si="24"/>
        <v>0</v>
      </c>
      <c r="BK19" s="544">
        <f t="shared" si="25"/>
        <v>0</v>
      </c>
      <c r="BL19" s="553" t="e">
        <f t="shared" si="26"/>
        <v>#DIV/0!</v>
      </c>
      <c r="BM19" s="544">
        <f t="shared" si="27"/>
        <v>0</v>
      </c>
      <c r="BN19" s="553" t="e">
        <f t="shared" si="10"/>
        <v>#DIV/0!</v>
      </c>
      <c r="BO19" s="548"/>
      <c r="BP19" s="552" t="s">
        <v>2350</v>
      </c>
      <c r="BQ19" s="552" t="s">
        <v>2329</v>
      </c>
      <c r="BR19" s="554" t="s">
        <v>2322</v>
      </c>
    </row>
    <row r="20" spans="1:70" ht="53.25" customHeight="1" x14ac:dyDescent="0.25">
      <c r="A20" s="539" t="s">
        <v>1940</v>
      </c>
      <c r="B20" s="539" t="s">
        <v>2031</v>
      </c>
      <c r="C20" s="540" t="s">
        <v>2093</v>
      </c>
      <c r="D20" s="540">
        <v>0</v>
      </c>
      <c r="E20" s="740">
        <v>1</v>
      </c>
      <c r="F20" s="740">
        <v>1</v>
      </c>
      <c r="G20" s="741">
        <v>1</v>
      </c>
      <c r="H20" s="744">
        <v>0</v>
      </c>
      <c r="I20" s="540">
        <v>0</v>
      </c>
      <c r="J20" s="547"/>
      <c r="K20" s="547"/>
      <c r="L20" s="541"/>
      <c r="M20" s="563"/>
      <c r="N20" s="563"/>
      <c r="O20" s="563"/>
      <c r="P20" s="546" t="s">
        <v>2142</v>
      </c>
      <c r="Q20" s="545">
        <f t="shared" si="70"/>
        <v>0</v>
      </c>
      <c r="R20" s="545">
        <f t="shared" si="70"/>
        <v>0</v>
      </c>
      <c r="S20" s="545">
        <f t="shared" si="70"/>
        <v>0</v>
      </c>
      <c r="T20" s="562" t="s">
        <v>2142</v>
      </c>
      <c r="U20" s="629">
        <v>45657</v>
      </c>
      <c r="V20" s="544">
        <f>SUM(D20:G20)</f>
        <v>3</v>
      </c>
      <c r="W20" s="544">
        <f>SUM(H20:N20)</f>
        <v>0</v>
      </c>
      <c r="X20" s="549">
        <f t="shared" si="71"/>
        <v>0</v>
      </c>
      <c r="Y20" s="546" t="s">
        <v>2142</v>
      </c>
      <c r="Z20" s="546" t="s">
        <v>2142</v>
      </c>
      <c r="AA20" s="546"/>
      <c r="AB20" s="547"/>
      <c r="AC20" s="547"/>
      <c r="AD20" s="668">
        <f>+'Anexo 5.2 A'!BG16</f>
        <v>0</v>
      </c>
      <c r="AE20" s="730"/>
      <c r="AF20" s="730"/>
      <c r="AG20" s="730"/>
      <c r="AH20" s="675">
        <f>+'Anexo 5.2 A'!BH16</f>
        <v>0</v>
      </c>
      <c r="AI20" s="728"/>
      <c r="AJ20" s="743"/>
      <c r="AK20" s="743"/>
      <c r="AL20" s="549" t="e">
        <f t="shared" si="12"/>
        <v>#DIV/0!</v>
      </c>
      <c r="AM20" s="549" t="e">
        <f t="shared" si="12"/>
        <v>#DIV/0!</v>
      </c>
      <c r="AN20" s="549" t="e">
        <f t="shared" si="12"/>
        <v>#DIV/0!</v>
      </c>
      <c r="AO20" s="549" t="e">
        <f t="shared" si="12"/>
        <v>#DIV/0!</v>
      </c>
      <c r="AP20" s="675">
        <f>+'Anexo 5.2 A'!BJ16</f>
        <v>0</v>
      </c>
      <c r="AQ20" s="675">
        <f>+'Anexo 5.2 A'!BK16</f>
        <v>0</v>
      </c>
      <c r="AR20" s="675">
        <f>+'Anexo 5.2 A'!BL16</f>
        <v>0</v>
      </c>
      <c r="AS20" s="675">
        <f>+'Anexo 5.2 A'!BM16</f>
        <v>0</v>
      </c>
      <c r="AT20" s="549" t="e">
        <f t="shared" si="17"/>
        <v>#DIV/0!</v>
      </c>
      <c r="AU20" s="549" t="e">
        <f t="shared" si="17"/>
        <v>#DIV/0!</v>
      </c>
      <c r="AV20" s="549" t="e">
        <f t="shared" si="17"/>
        <v>#DIV/0!</v>
      </c>
      <c r="AW20" s="549" t="e">
        <f t="shared" si="17"/>
        <v>#DIV/0!</v>
      </c>
      <c r="AX20" s="676">
        <f>+AH20-AP20</f>
        <v>0</v>
      </c>
      <c r="AY20" s="676">
        <f t="shared" si="72"/>
        <v>0</v>
      </c>
      <c r="AZ20" s="676">
        <f t="shared" si="72"/>
        <v>0</v>
      </c>
      <c r="BA20" s="676">
        <f t="shared" si="72"/>
        <v>0</v>
      </c>
      <c r="BB20" s="551"/>
      <c r="BC20" s="551"/>
      <c r="BD20" s="551"/>
      <c r="BE20" s="551"/>
      <c r="BF20" s="737" t="e">
        <f t="shared" si="23"/>
        <v>#DIV/0!</v>
      </c>
      <c r="BG20" s="737" t="e">
        <f t="shared" si="23"/>
        <v>#DIV/0!</v>
      </c>
      <c r="BH20" s="737" t="e">
        <f t="shared" si="23"/>
        <v>#DIV/0!</v>
      </c>
      <c r="BI20" s="547" t="e">
        <f t="shared" si="23"/>
        <v>#DIV/0!</v>
      </c>
      <c r="BJ20" s="730">
        <f t="shared" si="24"/>
        <v>0</v>
      </c>
      <c r="BK20" s="544">
        <f t="shared" si="25"/>
        <v>0</v>
      </c>
      <c r="BL20" s="553" t="e">
        <f t="shared" si="26"/>
        <v>#DIV/0!</v>
      </c>
      <c r="BM20" s="544">
        <f t="shared" si="27"/>
        <v>0</v>
      </c>
      <c r="BN20" s="553" t="e">
        <f t="shared" si="10"/>
        <v>#DIV/0!</v>
      </c>
      <c r="BO20" s="548"/>
      <c r="BP20" s="552" t="s">
        <v>2350</v>
      </c>
      <c r="BQ20" s="552" t="s">
        <v>2330</v>
      </c>
      <c r="BR20" s="554" t="s">
        <v>2322</v>
      </c>
    </row>
    <row r="21" spans="1:70" ht="53.25" customHeight="1" x14ac:dyDescent="0.25">
      <c r="A21" s="533" t="s">
        <v>1941</v>
      </c>
      <c r="B21" s="533"/>
      <c r="C21" s="534"/>
      <c r="D21" s="534"/>
      <c r="E21" s="535"/>
      <c r="F21" s="535"/>
      <c r="G21" s="535"/>
      <c r="H21" s="535"/>
      <c r="I21" s="535"/>
      <c r="J21" s="535"/>
      <c r="K21" s="535"/>
      <c r="L21" s="535"/>
      <c r="M21" s="535"/>
      <c r="N21" s="535"/>
      <c r="O21" s="535"/>
      <c r="P21" s="536">
        <f>+SUMPRODUCT(P22:P25,Z22:Z25)</f>
        <v>1</v>
      </c>
      <c r="Q21" s="536">
        <f>+SUMPRODUCT(Q22:Q25,AA22:AA25)</f>
        <v>0</v>
      </c>
      <c r="R21" s="536">
        <f>+SUMPRODUCT(R22:R25,AB22:AB25)</f>
        <v>0</v>
      </c>
      <c r="S21" s="536">
        <f>+SUMPRODUCT(S22:S25,AC22:AC25)</f>
        <v>0</v>
      </c>
      <c r="T21" s="657"/>
      <c r="U21" s="512"/>
      <c r="V21" s="537"/>
      <c r="W21" s="537"/>
      <c r="X21" s="538">
        <f>+SUMPRODUCT(X22:X25,Y22:Y25)</f>
        <v>0.25</v>
      </c>
      <c r="Y21" s="536">
        <v>1</v>
      </c>
      <c r="Z21" s="536">
        <v>1</v>
      </c>
      <c r="AA21" s="536"/>
      <c r="AB21" s="536"/>
      <c r="AC21" s="536"/>
      <c r="AD21" s="667">
        <f>SUM(AD22:AD25)</f>
        <v>2757575287</v>
      </c>
      <c r="AE21" s="667">
        <f t="shared" ref="AE21:AG21" si="73">SUM(AE22:AE25)</f>
        <v>0</v>
      </c>
      <c r="AF21" s="667">
        <f t="shared" si="73"/>
        <v>0</v>
      </c>
      <c r="AG21" s="667">
        <f t="shared" si="73"/>
        <v>0</v>
      </c>
      <c r="AH21" s="667">
        <f>SUM(AH22:AH25)</f>
        <v>2747953283.9200001</v>
      </c>
      <c r="AI21" s="667">
        <f t="shared" ref="AI21:AK21" si="74">SUM(AI22:AI25)</f>
        <v>0</v>
      </c>
      <c r="AJ21" s="667">
        <f t="shared" si="74"/>
        <v>0</v>
      </c>
      <c r="AK21" s="667">
        <f t="shared" si="74"/>
        <v>0</v>
      </c>
      <c r="AL21" s="538">
        <f t="shared" si="12"/>
        <v>0.99651070158433719</v>
      </c>
      <c r="AM21" s="538" t="e">
        <f t="shared" si="12"/>
        <v>#DIV/0!</v>
      </c>
      <c r="AN21" s="538" t="e">
        <f t="shared" si="12"/>
        <v>#DIV/0!</v>
      </c>
      <c r="AO21" s="538" t="e">
        <f t="shared" si="12"/>
        <v>#DIV/0!</v>
      </c>
      <c r="AP21" s="667">
        <f t="shared" ref="AP21" si="75">SUM(AP22:AP25)</f>
        <v>2747953283.9200001</v>
      </c>
      <c r="AQ21" s="667">
        <f t="shared" ref="AQ21" si="76">SUM(AQ22:AQ25)</f>
        <v>0</v>
      </c>
      <c r="AR21" s="667">
        <f t="shared" ref="AR21" si="77">SUM(AR22:AR25)</f>
        <v>0</v>
      </c>
      <c r="AS21" s="667">
        <f t="shared" ref="AS21" si="78">SUM(AS22:AS25)</f>
        <v>0</v>
      </c>
      <c r="AT21" s="538">
        <f t="shared" si="17"/>
        <v>0.99651070158433719</v>
      </c>
      <c r="AU21" s="538" t="e">
        <f t="shared" si="17"/>
        <v>#DIV/0!</v>
      </c>
      <c r="AV21" s="538" t="e">
        <f t="shared" si="17"/>
        <v>#DIV/0!</v>
      </c>
      <c r="AW21" s="538" t="e">
        <f t="shared" si="17"/>
        <v>#DIV/0!</v>
      </c>
      <c r="AX21" s="667">
        <f>SUM(AX22:AX25)</f>
        <v>0</v>
      </c>
      <c r="AY21" s="667">
        <f t="shared" ref="AY21:BA21" si="79">SUM(AY22:AY25)</f>
        <v>0</v>
      </c>
      <c r="AZ21" s="667">
        <f t="shared" si="79"/>
        <v>0</v>
      </c>
      <c r="BA21" s="667">
        <f t="shared" si="79"/>
        <v>0</v>
      </c>
      <c r="BB21" s="667">
        <f t="shared" ref="BB21" si="80">SUM(BB22:BB25)</f>
        <v>0</v>
      </c>
      <c r="BC21" s="667">
        <f t="shared" ref="BC21" si="81">SUM(BC22:BC25)</f>
        <v>0</v>
      </c>
      <c r="BD21" s="667">
        <f t="shared" ref="BD21" si="82">SUM(BD22:BD25)</f>
        <v>0</v>
      </c>
      <c r="BE21" s="667">
        <f t="shared" ref="BE21" si="83">SUM(BE22:BE25)</f>
        <v>0</v>
      </c>
      <c r="BF21" s="733" t="e">
        <f t="shared" si="23"/>
        <v>#DIV/0!</v>
      </c>
      <c r="BG21" s="733" t="e">
        <f t="shared" si="23"/>
        <v>#DIV/0!</v>
      </c>
      <c r="BH21" s="733" t="e">
        <f t="shared" si="23"/>
        <v>#DIV/0!</v>
      </c>
      <c r="BI21" s="536" t="e">
        <f t="shared" si="23"/>
        <v>#DIV/0!</v>
      </c>
      <c r="BJ21" s="537">
        <f t="shared" si="24"/>
        <v>2757575287</v>
      </c>
      <c r="BK21" s="537">
        <f t="shared" si="25"/>
        <v>2747953283.9200001</v>
      </c>
      <c r="BL21" s="536">
        <f t="shared" si="26"/>
        <v>0.99651070158433719</v>
      </c>
      <c r="BM21" s="537">
        <f t="shared" si="27"/>
        <v>2747953283.9200001</v>
      </c>
      <c r="BN21" s="536">
        <f t="shared" si="10"/>
        <v>0.99651070158433719</v>
      </c>
      <c r="BO21" s="534"/>
      <c r="BP21" s="762"/>
      <c r="BQ21" s="534"/>
      <c r="BR21" s="534"/>
    </row>
    <row r="22" spans="1:70" ht="53.25" customHeight="1" x14ac:dyDescent="0.25">
      <c r="A22" s="539" t="s">
        <v>1942</v>
      </c>
      <c r="B22" s="539" t="s">
        <v>2032</v>
      </c>
      <c r="C22" s="540" t="s">
        <v>2093</v>
      </c>
      <c r="D22" s="540">
        <v>0</v>
      </c>
      <c r="E22" s="740">
        <v>1</v>
      </c>
      <c r="F22" s="740">
        <v>1</v>
      </c>
      <c r="G22" s="741">
        <v>1</v>
      </c>
      <c r="H22" s="745">
        <v>0</v>
      </c>
      <c r="I22" s="540">
        <v>0</v>
      </c>
      <c r="J22" s="547"/>
      <c r="K22" s="562"/>
      <c r="L22" s="547"/>
      <c r="M22" s="553"/>
      <c r="N22" s="553"/>
      <c r="O22" s="553"/>
      <c r="P22" s="546" t="s">
        <v>2142</v>
      </c>
      <c r="Q22" s="562">
        <f t="shared" ref="P22:S25" si="84">IF((I22+M22)/E22&gt;=100%,100%,(I22+M22)/E22)</f>
        <v>0</v>
      </c>
      <c r="R22" s="562">
        <f t="shared" si="84"/>
        <v>0</v>
      </c>
      <c r="S22" s="562">
        <f t="shared" si="84"/>
        <v>0</v>
      </c>
      <c r="T22" s="562" t="s">
        <v>2142</v>
      </c>
      <c r="U22" s="629">
        <v>45657</v>
      </c>
      <c r="V22" s="544">
        <f>SUM(D22:G22)</f>
        <v>3</v>
      </c>
      <c r="W22" s="544">
        <f>SUM(H22:N22)</f>
        <v>0</v>
      </c>
      <c r="X22" s="718">
        <f t="shared" ref="X22:X25" si="85">IF(W22/V22&gt;=100%,100%,W22/V22)</f>
        <v>0</v>
      </c>
      <c r="Y22" s="546" t="s">
        <v>2142</v>
      </c>
      <c r="Z22" s="546" t="s">
        <v>2142</v>
      </c>
      <c r="AA22" s="546"/>
      <c r="AB22" s="547"/>
      <c r="AC22" s="547"/>
      <c r="AD22" s="668">
        <f>+'Anexo 5.2 A'!BG18</f>
        <v>0</v>
      </c>
      <c r="AE22" s="730"/>
      <c r="AF22" s="730"/>
      <c r="AG22" s="730"/>
      <c r="AH22" s="675">
        <f>+'Anexo 5.2 A'!BH18</f>
        <v>0</v>
      </c>
      <c r="AI22" s="728"/>
      <c r="AJ22" s="743"/>
      <c r="AK22" s="743"/>
      <c r="AL22" s="549" t="e">
        <f t="shared" si="12"/>
        <v>#DIV/0!</v>
      </c>
      <c r="AM22" s="549" t="e">
        <f t="shared" si="12"/>
        <v>#DIV/0!</v>
      </c>
      <c r="AN22" s="549" t="e">
        <f t="shared" si="12"/>
        <v>#DIV/0!</v>
      </c>
      <c r="AO22" s="549" t="e">
        <f t="shared" si="12"/>
        <v>#DIV/0!</v>
      </c>
      <c r="AP22" s="675">
        <f>+'Anexo 5.2 A'!BJ18</f>
        <v>0</v>
      </c>
      <c r="AQ22" s="675">
        <f>+'Anexo 5.2 A'!BK18</f>
        <v>0</v>
      </c>
      <c r="AR22" s="675">
        <f>+'Anexo 5.2 A'!BL18</f>
        <v>0</v>
      </c>
      <c r="AS22" s="675">
        <f>+'Anexo 5.2 A'!BM18</f>
        <v>0</v>
      </c>
      <c r="AT22" s="549" t="e">
        <f t="shared" si="17"/>
        <v>#DIV/0!</v>
      </c>
      <c r="AU22" s="549" t="e">
        <f t="shared" si="17"/>
        <v>#DIV/0!</v>
      </c>
      <c r="AV22" s="549" t="e">
        <f t="shared" si="17"/>
        <v>#DIV/0!</v>
      </c>
      <c r="AW22" s="549" t="e">
        <f t="shared" si="17"/>
        <v>#DIV/0!</v>
      </c>
      <c r="AX22" s="676">
        <f>+AH22-AP22</f>
        <v>0</v>
      </c>
      <c r="AY22" s="676">
        <f t="shared" ref="AY22:BA25" si="86">+AI22-AQ22</f>
        <v>0</v>
      </c>
      <c r="AZ22" s="676">
        <f t="shared" si="86"/>
        <v>0</v>
      </c>
      <c r="BA22" s="676">
        <f t="shared" si="86"/>
        <v>0</v>
      </c>
      <c r="BB22" s="551"/>
      <c r="BC22" s="551"/>
      <c r="BD22" s="551"/>
      <c r="BE22" s="551"/>
      <c r="BF22" s="737" t="e">
        <f t="shared" si="23"/>
        <v>#DIV/0!</v>
      </c>
      <c r="BG22" s="737" t="e">
        <f t="shared" si="23"/>
        <v>#DIV/0!</v>
      </c>
      <c r="BH22" s="737" t="e">
        <f t="shared" si="23"/>
        <v>#DIV/0!</v>
      </c>
      <c r="BI22" s="547" t="e">
        <f t="shared" si="23"/>
        <v>#DIV/0!</v>
      </c>
      <c r="BJ22" s="730">
        <f t="shared" si="24"/>
        <v>0</v>
      </c>
      <c r="BK22" s="544">
        <f t="shared" si="25"/>
        <v>0</v>
      </c>
      <c r="BL22" s="553" t="e">
        <f t="shared" si="26"/>
        <v>#DIV/0!</v>
      </c>
      <c r="BM22" s="544">
        <f t="shared" si="27"/>
        <v>0</v>
      </c>
      <c r="BN22" s="553" t="e">
        <f t="shared" si="10"/>
        <v>#DIV/0!</v>
      </c>
      <c r="BO22" s="548"/>
      <c r="BP22" s="552" t="s">
        <v>2350</v>
      </c>
      <c r="BQ22" s="552" t="s">
        <v>2329</v>
      </c>
      <c r="BR22" s="554" t="s">
        <v>2323</v>
      </c>
    </row>
    <row r="23" spans="1:70" ht="53.25" customHeight="1" x14ac:dyDescent="0.25">
      <c r="A23" s="539" t="s">
        <v>1943</v>
      </c>
      <c r="B23" s="539" t="s">
        <v>2033</v>
      </c>
      <c r="C23" s="540" t="s">
        <v>2093</v>
      </c>
      <c r="D23" s="540">
        <v>0</v>
      </c>
      <c r="E23" s="740">
        <v>400</v>
      </c>
      <c r="F23" s="740">
        <v>100</v>
      </c>
      <c r="G23" s="741">
        <v>100</v>
      </c>
      <c r="H23" s="744">
        <v>0</v>
      </c>
      <c r="I23" s="540">
        <v>0</v>
      </c>
      <c r="J23" s="547"/>
      <c r="K23" s="547"/>
      <c r="L23" s="541"/>
      <c r="M23" s="563"/>
      <c r="N23" s="563"/>
      <c r="O23" s="563"/>
      <c r="P23" s="546" t="s">
        <v>2142</v>
      </c>
      <c r="Q23" s="562">
        <f t="shared" si="84"/>
        <v>0</v>
      </c>
      <c r="R23" s="562">
        <f t="shared" si="84"/>
        <v>0</v>
      </c>
      <c r="S23" s="562">
        <f t="shared" si="84"/>
        <v>0</v>
      </c>
      <c r="T23" s="562" t="s">
        <v>2142</v>
      </c>
      <c r="U23" s="629">
        <v>45657</v>
      </c>
      <c r="V23" s="544">
        <f>SUM(D23:G23)</f>
        <v>600</v>
      </c>
      <c r="W23" s="544">
        <f>SUM(H23:N23)</f>
        <v>0</v>
      </c>
      <c r="X23" s="549">
        <f t="shared" si="85"/>
        <v>0</v>
      </c>
      <c r="Y23" s="546" t="s">
        <v>2142</v>
      </c>
      <c r="Z23" s="546" t="s">
        <v>2142</v>
      </c>
      <c r="AA23" s="546"/>
      <c r="AB23" s="547"/>
      <c r="AC23" s="547"/>
      <c r="AD23" s="668">
        <f>+'Anexo 5.2 A'!BG19</f>
        <v>0</v>
      </c>
      <c r="AE23" s="730"/>
      <c r="AF23" s="730"/>
      <c r="AG23" s="730"/>
      <c r="AH23" s="675">
        <f>+'Anexo 5.2 A'!BH19</f>
        <v>0</v>
      </c>
      <c r="AI23" s="728"/>
      <c r="AJ23" s="743"/>
      <c r="AK23" s="743"/>
      <c r="AL23" s="549" t="e">
        <f t="shared" si="12"/>
        <v>#DIV/0!</v>
      </c>
      <c r="AM23" s="549" t="e">
        <f t="shared" si="12"/>
        <v>#DIV/0!</v>
      </c>
      <c r="AN23" s="549" t="e">
        <f t="shared" si="12"/>
        <v>#DIV/0!</v>
      </c>
      <c r="AO23" s="549" t="e">
        <f t="shared" si="12"/>
        <v>#DIV/0!</v>
      </c>
      <c r="AP23" s="675">
        <f>+'Anexo 5.2 A'!BJ19</f>
        <v>0</v>
      </c>
      <c r="AQ23" s="675">
        <f>+'Anexo 5.2 A'!BK19</f>
        <v>0</v>
      </c>
      <c r="AR23" s="675">
        <f>+'Anexo 5.2 A'!BL19</f>
        <v>0</v>
      </c>
      <c r="AS23" s="675">
        <f>+'Anexo 5.2 A'!BM19</f>
        <v>0</v>
      </c>
      <c r="AT23" s="549" t="e">
        <f t="shared" si="17"/>
        <v>#DIV/0!</v>
      </c>
      <c r="AU23" s="549" t="e">
        <f t="shared" si="17"/>
        <v>#DIV/0!</v>
      </c>
      <c r="AV23" s="549" t="e">
        <f t="shared" si="17"/>
        <v>#DIV/0!</v>
      </c>
      <c r="AW23" s="549" t="e">
        <f t="shared" si="17"/>
        <v>#DIV/0!</v>
      </c>
      <c r="AX23" s="676">
        <f>+AH23-AP23</f>
        <v>0</v>
      </c>
      <c r="AY23" s="676">
        <f t="shared" si="86"/>
        <v>0</v>
      </c>
      <c r="AZ23" s="676">
        <f t="shared" si="86"/>
        <v>0</v>
      </c>
      <c r="BA23" s="676">
        <f t="shared" si="86"/>
        <v>0</v>
      </c>
      <c r="BB23" s="551"/>
      <c r="BC23" s="551"/>
      <c r="BD23" s="551"/>
      <c r="BE23" s="551"/>
      <c r="BF23" s="737" t="e">
        <f t="shared" si="23"/>
        <v>#DIV/0!</v>
      </c>
      <c r="BG23" s="737" t="e">
        <f t="shared" si="23"/>
        <v>#DIV/0!</v>
      </c>
      <c r="BH23" s="737" t="e">
        <f t="shared" si="23"/>
        <v>#DIV/0!</v>
      </c>
      <c r="BI23" s="547" t="e">
        <f t="shared" si="23"/>
        <v>#DIV/0!</v>
      </c>
      <c r="BJ23" s="730">
        <f t="shared" si="24"/>
        <v>0</v>
      </c>
      <c r="BK23" s="544">
        <f t="shared" si="25"/>
        <v>0</v>
      </c>
      <c r="BL23" s="553" t="e">
        <f t="shared" si="26"/>
        <v>#DIV/0!</v>
      </c>
      <c r="BM23" s="544">
        <f t="shared" si="27"/>
        <v>0</v>
      </c>
      <c r="BN23" s="553" t="e">
        <f t="shared" si="10"/>
        <v>#DIV/0!</v>
      </c>
      <c r="BO23" s="548"/>
      <c r="BP23" s="552" t="s">
        <v>2350</v>
      </c>
      <c r="BQ23" s="552" t="s">
        <v>2330</v>
      </c>
      <c r="BR23" s="554" t="s">
        <v>2323</v>
      </c>
    </row>
    <row r="24" spans="1:70" ht="53.25" customHeight="1" x14ac:dyDescent="0.25">
      <c r="A24" s="539" t="s">
        <v>1944</v>
      </c>
      <c r="B24" s="539" t="s">
        <v>2034</v>
      </c>
      <c r="C24" s="540" t="s">
        <v>2093</v>
      </c>
      <c r="D24" s="540">
        <v>1</v>
      </c>
      <c r="E24" s="740">
        <v>1</v>
      </c>
      <c r="F24" s="740">
        <v>1</v>
      </c>
      <c r="G24" s="741">
        <v>1</v>
      </c>
      <c r="H24" s="744">
        <v>1</v>
      </c>
      <c r="I24" s="540">
        <v>0</v>
      </c>
      <c r="J24" s="547"/>
      <c r="K24" s="547"/>
      <c r="L24" s="541"/>
      <c r="M24" s="563"/>
      <c r="N24" s="563"/>
      <c r="O24" s="563"/>
      <c r="P24" s="562">
        <f t="shared" si="84"/>
        <v>1</v>
      </c>
      <c r="Q24" s="562">
        <v>0</v>
      </c>
      <c r="R24" s="562">
        <v>0</v>
      </c>
      <c r="S24" s="562">
        <v>0</v>
      </c>
      <c r="T24" s="550" t="s">
        <v>2430</v>
      </c>
      <c r="U24" s="629">
        <v>45657</v>
      </c>
      <c r="V24" s="544">
        <f>SUM(D24:G24)</f>
        <v>4</v>
      </c>
      <c r="W24" s="544">
        <f>SUM(H24:N24)</f>
        <v>1</v>
      </c>
      <c r="X24" s="549">
        <f t="shared" ref="X24" si="87">IF(W24/V24&gt;=100%,100%,W24/V24)</f>
        <v>0.25</v>
      </c>
      <c r="Y24" s="546">
        <v>0.5</v>
      </c>
      <c r="Z24" s="546">
        <v>0.5</v>
      </c>
      <c r="AA24" s="546"/>
      <c r="AB24" s="547"/>
      <c r="AC24" s="547"/>
      <c r="AD24" s="668">
        <f>+'Anexo 5.2 A'!BG20</f>
        <v>2670761897</v>
      </c>
      <c r="AE24" s="730"/>
      <c r="AF24" s="730"/>
      <c r="AG24" s="730"/>
      <c r="AH24" s="675">
        <f>+'Anexo 5.2 A'!BH20</f>
        <v>2665777526.9200001</v>
      </c>
      <c r="AI24" s="728"/>
      <c r="AJ24" s="743"/>
      <c r="AK24" s="743"/>
      <c r="AL24" s="549">
        <f t="shared" si="12"/>
        <v>0.99813372727625072</v>
      </c>
      <c r="AM24" s="549"/>
      <c r="AN24" s="549"/>
      <c r="AO24" s="549"/>
      <c r="AP24" s="675">
        <f>+'Anexo 5.2 A'!BJ20</f>
        <v>2665777526.9200001</v>
      </c>
      <c r="AQ24" s="675">
        <f>+'Anexo 5.2 A'!BK20</f>
        <v>0</v>
      </c>
      <c r="AR24" s="675">
        <f>+'Anexo 5.2 A'!BL20</f>
        <v>0</v>
      </c>
      <c r="AS24" s="675">
        <f>+'Anexo 5.2 A'!BM20</f>
        <v>0</v>
      </c>
      <c r="AT24" s="549">
        <f t="shared" ref="AT24:AW24" si="88">+AP24/AD24</f>
        <v>0.99813372727625072</v>
      </c>
      <c r="AU24" s="549" t="e">
        <f t="shared" si="88"/>
        <v>#DIV/0!</v>
      </c>
      <c r="AV24" s="549" t="e">
        <f t="shared" si="88"/>
        <v>#DIV/0!</v>
      </c>
      <c r="AW24" s="549" t="e">
        <f t="shared" si="88"/>
        <v>#DIV/0!</v>
      </c>
      <c r="AX24" s="676">
        <f>+AH24-AP24</f>
        <v>0</v>
      </c>
      <c r="AY24" s="676">
        <f t="shared" si="86"/>
        <v>0</v>
      </c>
      <c r="AZ24" s="676">
        <f t="shared" si="86"/>
        <v>0</v>
      </c>
      <c r="BA24" s="676">
        <f t="shared" si="86"/>
        <v>0</v>
      </c>
      <c r="BB24" s="551"/>
      <c r="BC24" s="551"/>
      <c r="BD24" s="551"/>
      <c r="BE24" s="551"/>
      <c r="BF24" s="737" t="e">
        <f t="shared" si="23"/>
        <v>#DIV/0!</v>
      </c>
      <c r="BG24" s="737"/>
      <c r="BH24" s="737"/>
      <c r="BI24" s="547"/>
      <c r="BJ24" s="730">
        <f t="shared" si="24"/>
        <v>2670761897</v>
      </c>
      <c r="BK24" s="544">
        <f t="shared" ref="BK24" si="89">+AH24+AI24+AJ24+AK24</f>
        <v>2665777526.9200001</v>
      </c>
      <c r="BL24" s="553">
        <f t="shared" ref="BL24" si="90">+BK24/BJ24</f>
        <v>0.99813372727625072</v>
      </c>
      <c r="BM24" s="544">
        <f t="shared" ref="BM24" si="91">+AP24+AQ24+AR24+AS24</f>
        <v>2665777526.9200001</v>
      </c>
      <c r="BN24" s="553">
        <f t="shared" ref="BN24" si="92">+BM24/BJ24</f>
        <v>0.99813372727625072</v>
      </c>
      <c r="BO24" s="548"/>
      <c r="BP24" s="552" t="s">
        <v>2350</v>
      </c>
      <c r="BQ24" s="552" t="s">
        <v>2329</v>
      </c>
      <c r="BR24" s="554" t="s">
        <v>2323</v>
      </c>
    </row>
    <row r="25" spans="1:70" ht="53.25" customHeight="1" x14ac:dyDescent="0.25">
      <c r="A25" s="539" t="s">
        <v>1945</v>
      </c>
      <c r="B25" s="539" t="s">
        <v>2035</v>
      </c>
      <c r="C25" s="540" t="s">
        <v>2093</v>
      </c>
      <c r="D25" s="540">
        <v>1</v>
      </c>
      <c r="E25" s="740">
        <v>1</v>
      </c>
      <c r="F25" s="740">
        <v>1</v>
      </c>
      <c r="G25" s="741">
        <v>1</v>
      </c>
      <c r="H25" s="740">
        <v>1</v>
      </c>
      <c r="I25" s="540">
        <v>0</v>
      </c>
      <c r="J25" s="746"/>
      <c r="K25" s="746"/>
      <c r="L25" s="541"/>
      <c r="M25" s="566"/>
      <c r="N25" s="566"/>
      <c r="O25" s="566"/>
      <c r="P25" s="562">
        <f t="shared" si="84"/>
        <v>1</v>
      </c>
      <c r="Q25" s="562">
        <f t="shared" si="84"/>
        <v>0</v>
      </c>
      <c r="R25" s="562">
        <f t="shared" si="84"/>
        <v>0</v>
      </c>
      <c r="S25" s="562">
        <f t="shared" si="84"/>
        <v>0</v>
      </c>
      <c r="T25" s="550" t="s">
        <v>2098</v>
      </c>
      <c r="U25" s="629">
        <v>45657</v>
      </c>
      <c r="V25" s="544">
        <f>SUM(D25:G25)</f>
        <v>4</v>
      </c>
      <c r="W25" s="544">
        <f>SUM(H25:N25)</f>
        <v>1</v>
      </c>
      <c r="X25" s="549">
        <f t="shared" si="85"/>
        <v>0.25</v>
      </c>
      <c r="Y25" s="546">
        <v>0.5</v>
      </c>
      <c r="Z25" s="546">
        <v>0.5</v>
      </c>
      <c r="AA25" s="546"/>
      <c r="AB25" s="547"/>
      <c r="AC25" s="547"/>
      <c r="AD25" s="668">
        <f>+'Anexo 5.2 A'!BG21</f>
        <v>86813390</v>
      </c>
      <c r="AE25" s="747"/>
      <c r="AF25" s="747"/>
      <c r="AG25" s="747"/>
      <c r="AH25" s="675">
        <f>+'Anexo 5.2 A'!BH21</f>
        <v>82175757</v>
      </c>
      <c r="AI25" s="728"/>
      <c r="AJ25" s="743"/>
      <c r="AK25" s="743"/>
      <c r="AL25" s="549">
        <f t="shared" si="12"/>
        <v>0.94657928920872692</v>
      </c>
      <c r="AM25" s="549" t="e">
        <f t="shared" si="12"/>
        <v>#DIV/0!</v>
      </c>
      <c r="AN25" s="549" t="e">
        <f t="shared" si="12"/>
        <v>#DIV/0!</v>
      </c>
      <c r="AO25" s="549" t="e">
        <f t="shared" si="12"/>
        <v>#DIV/0!</v>
      </c>
      <c r="AP25" s="675">
        <f>+'Anexo 5.2 A'!BJ21</f>
        <v>82175757</v>
      </c>
      <c r="AQ25" s="675">
        <f>+'Anexo 5.2 A'!BK21</f>
        <v>0</v>
      </c>
      <c r="AR25" s="675">
        <f>+'Anexo 5.2 A'!BL21</f>
        <v>0</v>
      </c>
      <c r="AS25" s="675">
        <f>+'Anexo 5.2 A'!BM21</f>
        <v>0</v>
      </c>
      <c r="AT25" s="549">
        <f t="shared" si="17"/>
        <v>0.94657928920872692</v>
      </c>
      <c r="AU25" s="549" t="e">
        <f t="shared" si="17"/>
        <v>#DIV/0!</v>
      </c>
      <c r="AV25" s="549" t="e">
        <f t="shared" si="17"/>
        <v>#DIV/0!</v>
      </c>
      <c r="AW25" s="549" t="e">
        <f t="shared" si="17"/>
        <v>#DIV/0!</v>
      </c>
      <c r="AX25" s="676">
        <f>+AH25-AP25</f>
        <v>0</v>
      </c>
      <c r="AY25" s="676">
        <f t="shared" si="86"/>
        <v>0</v>
      </c>
      <c r="AZ25" s="676">
        <f t="shared" si="86"/>
        <v>0</v>
      </c>
      <c r="BA25" s="676">
        <f t="shared" si="86"/>
        <v>0</v>
      </c>
      <c r="BB25" s="551"/>
      <c r="BC25" s="551"/>
      <c r="BD25" s="551"/>
      <c r="BE25" s="551"/>
      <c r="BF25" s="737" t="e">
        <f t="shared" si="23"/>
        <v>#DIV/0!</v>
      </c>
      <c r="BG25" s="737" t="e">
        <f t="shared" si="23"/>
        <v>#DIV/0!</v>
      </c>
      <c r="BH25" s="737" t="e">
        <f t="shared" si="23"/>
        <v>#DIV/0!</v>
      </c>
      <c r="BI25" s="547" t="e">
        <f t="shared" si="23"/>
        <v>#DIV/0!</v>
      </c>
      <c r="BJ25" s="747">
        <f t="shared" si="24"/>
        <v>86813390</v>
      </c>
      <c r="BK25" s="544">
        <f t="shared" si="25"/>
        <v>82175757</v>
      </c>
      <c r="BL25" s="553">
        <f t="shared" si="26"/>
        <v>0.94657928920872692</v>
      </c>
      <c r="BM25" s="544">
        <f t="shared" si="27"/>
        <v>82175757</v>
      </c>
      <c r="BN25" s="553">
        <f t="shared" si="10"/>
        <v>0.94657928920872692</v>
      </c>
      <c r="BO25" s="548"/>
      <c r="BP25" s="552" t="s">
        <v>2350</v>
      </c>
      <c r="BQ25" s="552" t="s">
        <v>2330</v>
      </c>
      <c r="BR25" s="554" t="s">
        <v>2323</v>
      </c>
    </row>
    <row r="26" spans="1:70" s="633" customFormat="1" ht="53.25" customHeight="1" x14ac:dyDescent="0.25">
      <c r="A26" s="614" t="s">
        <v>1946</v>
      </c>
      <c r="B26" s="614"/>
      <c r="C26" s="615"/>
      <c r="D26" s="615"/>
      <c r="E26" s="616"/>
      <c r="F26" s="616"/>
      <c r="G26" s="616"/>
      <c r="H26" s="616"/>
      <c r="I26" s="616"/>
      <c r="J26" s="616"/>
      <c r="K26" s="616"/>
      <c r="L26" s="616"/>
      <c r="M26" s="616"/>
      <c r="N26" s="616"/>
      <c r="O26" s="616"/>
      <c r="P26" s="617">
        <f>+(P27*Z27)+(P45*Z45)</f>
        <v>0.96666666666666679</v>
      </c>
      <c r="Q26" s="617" t="e">
        <f>+(Q27*AA27)</f>
        <v>#VALUE!</v>
      </c>
      <c r="R26" s="617" t="e">
        <f>+(R27*AB27)</f>
        <v>#DIV/0!</v>
      </c>
      <c r="S26" s="617" t="e">
        <f>+(S27*AC27)</f>
        <v>#VALUE!</v>
      </c>
      <c r="T26" s="658"/>
      <c r="U26" s="619"/>
      <c r="V26" s="620"/>
      <c r="W26" s="620"/>
      <c r="X26" s="622">
        <f>+(X27*Y27)</f>
        <v>0.11309523809523811</v>
      </c>
      <c r="Y26" s="621">
        <v>0.3</v>
      </c>
      <c r="Z26" s="621">
        <v>0.3</v>
      </c>
      <c r="AA26" s="621"/>
      <c r="AB26" s="621"/>
      <c r="AC26" s="621"/>
      <c r="AD26" s="665">
        <f>+AD27+AD45</f>
        <v>33503680581.979996</v>
      </c>
      <c r="AE26" s="665">
        <f t="shared" ref="AE26:AG26" si="93">+AE27+AE45</f>
        <v>0</v>
      </c>
      <c r="AF26" s="665">
        <f t="shared" si="93"/>
        <v>0</v>
      </c>
      <c r="AG26" s="665">
        <f t="shared" si="93"/>
        <v>0</v>
      </c>
      <c r="AH26" s="665">
        <f>+AH27+AH45</f>
        <v>32441321650.040001</v>
      </c>
      <c r="AI26" s="665">
        <f t="shared" ref="AI26:AK26" si="94">+AI27+AI45</f>
        <v>0</v>
      </c>
      <c r="AJ26" s="665">
        <f t="shared" si="94"/>
        <v>0</v>
      </c>
      <c r="AK26" s="665">
        <f t="shared" si="94"/>
        <v>0</v>
      </c>
      <c r="AL26" s="622">
        <f t="shared" si="12"/>
        <v>0.96829127685417982</v>
      </c>
      <c r="AM26" s="622" t="e">
        <f t="shared" si="12"/>
        <v>#DIV/0!</v>
      </c>
      <c r="AN26" s="622" t="e">
        <f t="shared" si="12"/>
        <v>#DIV/0!</v>
      </c>
      <c r="AO26" s="622" t="e">
        <f t="shared" si="12"/>
        <v>#DIV/0!</v>
      </c>
      <c r="AP26" s="665">
        <f t="shared" ref="AP26" si="95">+AP27+AP45</f>
        <v>22492252157.730003</v>
      </c>
      <c r="AQ26" s="665">
        <f t="shared" ref="AQ26" si="96">+AQ27+AQ45</f>
        <v>0</v>
      </c>
      <c r="AR26" s="665">
        <f t="shared" ref="AR26" si="97">+AR27+AR45</f>
        <v>0</v>
      </c>
      <c r="AS26" s="665">
        <f t="shared" ref="AS26" si="98">+AS27+AS45</f>
        <v>0</v>
      </c>
      <c r="AT26" s="622">
        <f t="shared" si="17"/>
        <v>0.67133675366483447</v>
      </c>
      <c r="AU26" s="622" t="e">
        <f t="shared" si="17"/>
        <v>#DIV/0!</v>
      </c>
      <c r="AV26" s="622" t="e">
        <f t="shared" si="17"/>
        <v>#DIV/0!</v>
      </c>
      <c r="AW26" s="622" t="e">
        <f t="shared" si="17"/>
        <v>#DIV/0!</v>
      </c>
      <c r="AX26" s="665">
        <f>+AX27+AX45</f>
        <v>9949069492.3100014</v>
      </c>
      <c r="AY26" s="665">
        <f t="shared" ref="AY26:BA26" si="99">+AY27+AY45</f>
        <v>0</v>
      </c>
      <c r="AZ26" s="665">
        <f t="shared" si="99"/>
        <v>0</v>
      </c>
      <c r="BA26" s="665">
        <f t="shared" si="99"/>
        <v>0</v>
      </c>
      <c r="BB26" s="665">
        <f t="shared" ref="BB26" si="100">+BB27+BB45</f>
        <v>0</v>
      </c>
      <c r="BC26" s="665">
        <f t="shared" ref="BC26" si="101">+BC27+BC45</f>
        <v>0</v>
      </c>
      <c r="BD26" s="665">
        <f t="shared" ref="BD26" si="102">+BD27+BD45</f>
        <v>0</v>
      </c>
      <c r="BE26" s="665">
        <f t="shared" ref="BE26" si="103">+BE27+BE45</f>
        <v>0</v>
      </c>
      <c r="BF26" s="735">
        <f t="shared" si="23"/>
        <v>0</v>
      </c>
      <c r="BG26" s="735" t="e">
        <f t="shared" si="23"/>
        <v>#DIV/0!</v>
      </c>
      <c r="BH26" s="735" t="e">
        <f t="shared" si="23"/>
        <v>#DIV/0!</v>
      </c>
      <c r="BI26" s="621" t="e">
        <f t="shared" si="23"/>
        <v>#DIV/0!</v>
      </c>
      <c r="BJ26" s="620">
        <f t="shared" si="24"/>
        <v>33503680581.979996</v>
      </c>
      <c r="BK26" s="620">
        <f t="shared" si="25"/>
        <v>32441321650.040001</v>
      </c>
      <c r="BL26" s="621">
        <f t="shared" si="26"/>
        <v>0.96829127685417982</v>
      </c>
      <c r="BM26" s="620">
        <f t="shared" si="27"/>
        <v>22492252157.730003</v>
      </c>
      <c r="BN26" s="621">
        <f t="shared" si="10"/>
        <v>0.67133675366483447</v>
      </c>
      <c r="BO26" s="615"/>
      <c r="BP26" s="615"/>
      <c r="BQ26" s="615"/>
      <c r="BR26" s="615"/>
    </row>
    <row r="27" spans="1:70" ht="53.25" customHeight="1" x14ac:dyDescent="0.25">
      <c r="A27" s="521" t="s">
        <v>1947</v>
      </c>
      <c r="B27" s="521"/>
      <c r="C27" s="531"/>
      <c r="D27" s="531"/>
      <c r="E27" s="524"/>
      <c r="F27" s="524"/>
      <c r="G27" s="524"/>
      <c r="H27" s="524"/>
      <c r="I27" s="524"/>
      <c r="J27" s="524"/>
      <c r="K27" s="524"/>
      <c r="L27" s="524"/>
      <c r="M27" s="524"/>
      <c r="N27" s="524"/>
      <c r="O27" s="524"/>
      <c r="P27" s="570">
        <f>+(P28*Z28)+(P43*Z43)</f>
        <v>0.93333333333333346</v>
      </c>
      <c r="Q27" s="525" t="e">
        <f>+(Q28*AA28)+(Q43*AA43)</f>
        <v>#VALUE!</v>
      </c>
      <c r="R27" s="525" t="e">
        <f>+(R28*AB28)+(R43*AB43)</f>
        <v>#DIV/0!</v>
      </c>
      <c r="S27" s="525" t="e">
        <f>+(S28*AC28)+(S43*AC43)</f>
        <v>#VALUE!</v>
      </c>
      <c r="T27" s="659"/>
      <c r="U27" s="528"/>
      <c r="V27" s="530"/>
      <c r="W27" s="530"/>
      <c r="X27" s="532">
        <f>+(X28*Y28)+(X43*Y43)</f>
        <v>0.22619047619047622</v>
      </c>
      <c r="Y27" s="529">
        <v>0.5</v>
      </c>
      <c r="Z27" s="529">
        <v>0.5</v>
      </c>
      <c r="AA27" s="529"/>
      <c r="AB27" s="529"/>
      <c r="AC27" s="529"/>
      <c r="AD27" s="666">
        <f>+AD28+AD43</f>
        <v>16701267447.759996</v>
      </c>
      <c r="AE27" s="666">
        <f t="shared" ref="AE27:AG27" si="104">+AE28+AE43</f>
        <v>0</v>
      </c>
      <c r="AF27" s="666">
        <f t="shared" si="104"/>
        <v>0</v>
      </c>
      <c r="AG27" s="666">
        <f t="shared" si="104"/>
        <v>0</v>
      </c>
      <c r="AH27" s="666">
        <f>+AH28+AH43</f>
        <v>15673196912.040001</v>
      </c>
      <c r="AI27" s="666">
        <f t="shared" ref="AI27:AK27" si="105">+AI28+AI43</f>
        <v>0</v>
      </c>
      <c r="AJ27" s="666">
        <f t="shared" si="105"/>
        <v>0</v>
      </c>
      <c r="AK27" s="666">
        <f t="shared" si="105"/>
        <v>0</v>
      </c>
      <c r="AL27" s="532">
        <f t="shared" si="12"/>
        <v>0.93844356190716038</v>
      </c>
      <c r="AM27" s="532" t="e">
        <f t="shared" si="12"/>
        <v>#DIV/0!</v>
      </c>
      <c r="AN27" s="532" t="e">
        <f t="shared" si="12"/>
        <v>#DIV/0!</v>
      </c>
      <c r="AO27" s="532" t="e">
        <f t="shared" si="12"/>
        <v>#DIV/0!</v>
      </c>
      <c r="AP27" s="666">
        <f t="shared" ref="AP27" si="106">+AP28+AP43</f>
        <v>13170932840.530003</v>
      </c>
      <c r="AQ27" s="666">
        <f t="shared" ref="AQ27" si="107">+AQ28+AQ43</f>
        <v>0</v>
      </c>
      <c r="AR27" s="666">
        <f t="shared" ref="AR27" si="108">+AR28+AR43</f>
        <v>0</v>
      </c>
      <c r="AS27" s="666">
        <f t="shared" ref="AS27" si="109">+AS28+AS43</f>
        <v>0</v>
      </c>
      <c r="AT27" s="532">
        <f t="shared" si="17"/>
        <v>0.78861876092502858</v>
      </c>
      <c r="AU27" s="532" t="e">
        <f t="shared" si="17"/>
        <v>#DIV/0!</v>
      </c>
      <c r="AV27" s="532" t="e">
        <f t="shared" si="17"/>
        <v>#DIV/0!</v>
      </c>
      <c r="AW27" s="532" t="e">
        <f t="shared" si="17"/>
        <v>#DIV/0!</v>
      </c>
      <c r="AX27" s="666">
        <f>+AX28+AX43</f>
        <v>2502264071.5100017</v>
      </c>
      <c r="AY27" s="666">
        <f t="shared" ref="AY27:BA27" si="110">+AY28+AY43</f>
        <v>0</v>
      </c>
      <c r="AZ27" s="666">
        <f t="shared" si="110"/>
        <v>0</v>
      </c>
      <c r="BA27" s="666">
        <f t="shared" si="110"/>
        <v>0</v>
      </c>
      <c r="BB27" s="666">
        <f t="shared" ref="BB27" si="111">+BB28+BB43</f>
        <v>0</v>
      </c>
      <c r="BC27" s="666">
        <f t="shared" ref="BC27" si="112">+BC28+BC43</f>
        <v>0</v>
      </c>
      <c r="BD27" s="666">
        <f t="shared" ref="BD27" si="113">+BD28+BD43</f>
        <v>0</v>
      </c>
      <c r="BE27" s="666">
        <f t="shared" ref="BE27" si="114">+BE28+BE43</f>
        <v>0</v>
      </c>
      <c r="BF27" s="732">
        <f t="shared" si="23"/>
        <v>0</v>
      </c>
      <c r="BG27" s="732" t="e">
        <f t="shared" si="23"/>
        <v>#DIV/0!</v>
      </c>
      <c r="BH27" s="732" t="e">
        <f t="shared" si="23"/>
        <v>#DIV/0!</v>
      </c>
      <c r="BI27" s="529" t="e">
        <f t="shared" si="23"/>
        <v>#DIV/0!</v>
      </c>
      <c r="BJ27" s="530">
        <f t="shared" si="24"/>
        <v>16701267447.759996</v>
      </c>
      <c r="BK27" s="530">
        <f t="shared" si="25"/>
        <v>15673196912.040001</v>
      </c>
      <c r="BL27" s="529">
        <f t="shared" si="26"/>
        <v>0.93844356190716038</v>
      </c>
      <c r="BM27" s="530">
        <f t="shared" si="27"/>
        <v>13170932840.530003</v>
      </c>
      <c r="BN27" s="529">
        <f t="shared" si="10"/>
        <v>0.78861876092502858</v>
      </c>
      <c r="BO27" s="531"/>
      <c r="BP27" s="531"/>
      <c r="BQ27" s="531"/>
      <c r="BR27" s="531"/>
    </row>
    <row r="28" spans="1:70" ht="53.25" customHeight="1" x14ac:dyDescent="0.25">
      <c r="A28" s="533" t="s">
        <v>1948</v>
      </c>
      <c r="B28" s="533"/>
      <c r="C28" s="534"/>
      <c r="D28" s="534"/>
      <c r="E28" s="535"/>
      <c r="F28" s="535"/>
      <c r="G28" s="535"/>
      <c r="H28" s="535"/>
      <c r="I28" s="535"/>
      <c r="J28" s="535"/>
      <c r="K28" s="535"/>
      <c r="L28" s="535"/>
      <c r="M28" s="535"/>
      <c r="N28" s="535"/>
      <c r="O28" s="535"/>
      <c r="P28" s="564">
        <f>+SUMPRODUCT(P29:P42,Z29:Z42)</f>
        <v>0.88888888888888906</v>
      </c>
      <c r="Q28" s="564">
        <f>+SUMPRODUCT(Q29:Q32,AA29:AA32)</f>
        <v>0</v>
      </c>
      <c r="R28" s="564" t="e">
        <f>+SUMPRODUCT(R29:R32,AB29:AB32)</f>
        <v>#DIV/0!</v>
      </c>
      <c r="S28" s="564">
        <f>+SUMPRODUCT(S29:S32,AC29:AC32)</f>
        <v>0</v>
      </c>
      <c r="T28" s="657"/>
      <c r="U28" s="512"/>
      <c r="V28" s="537"/>
      <c r="W28" s="537"/>
      <c r="X28" s="538">
        <f>+SUMPRODUCT(X29:X42,Y29:Y42)</f>
        <v>0.21031746031746035</v>
      </c>
      <c r="Y28" s="536">
        <v>0.6</v>
      </c>
      <c r="Z28" s="536">
        <v>0.6</v>
      </c>
      <c r="AA28" s="536"/>
      <c r="AB28" s="536"/>
      <c r="AC28" s="536"/>
      <c r="AD28" s="667">
        <f>SUM(AD29:AD42)</f>
        <v>16617507617.759996</v>
      </c>
      <c r="AE28" s="667">
        <f t="shared" ref="AE28:AG28" si="115">SUM(AE29:AE42)</f>
        <v>0</v>
      </c>
      <c r="AF28" s="667">
        <f t="shared" si="115"/>
        <v>0</v>
      </c>
      <c r="AG28" s="667">
        <f t="shared" si="115"/>
        <v>0</v>
      </c>
      <c r="AH28" s="667">
        <f>SUM(AH29:AH42)</f>
        <v>15589437082.040001</v>
      </c>
      <c r="AI28" s="667">
        <f t="shared" ref="AI28:AK28" si="116">SUM(AI29:AI42)</f>
        <v>0</v>
      </c>
      <c r="AJ28" s="667">
        <f t="shared" si="116"/>
        <v>0</v>
      </c>
      <c r="AK28" s="667">
        <f t="shared" si="116"/>
        <v>0</v>
      </c>
      <c r="AL28" s="538">
        <f>+AH28/AD28</f>
        <v>0.93813328933749107</v>
      </c>
      <c r="AM28" s="538" t="e">
        <f t="shared" si="12"/>
        <v>#DIV/0!</v>
      </c>
      <c r="AN28" s="538" t="e">
        <f t="shared" si="12"/>
        <v>#DIV/0!</v>
      </c>
      <c r="AO28" s="538" t="e">
        <f t="shared" si="12"/>
        <v>#DIV/0!</v>
      </c>
      <c r="AP28" s="667">
        <f t="shared" ref="AP28" si="117">SUM(AP29:AP42)</f>
        <v>13089234298.530003</v>
      </c>
      <c r="AQ28" s="667">
        <f t="shared" ref="AQ28" si="118">SUM(AQ29:AQ42)</f>
        <v>0</v>
      </c>
      <c r="AR28" s="667">
        <f t="shared" ref="AR28" si="119">SUM(AR29:AR42)</f>
        <v>0</v>
      </c>
      <c r="AS28" s="667">
        <f t="shared" ref="AS28" si="120">SUM(AS29:AS42)</f>
        <v>0</v>
      </c>
      <c r="AT28" s="538">
        <f>+AP28/AD28</f>
        <v>0.78767734606246587</v>
      </c>
      <c r="AU28" s="538" t="e">
        <f t="shared" si="17"/>
        <v>#DIV/0!</v>
      </c>
      <c r="AV28" s="538" t="e">
        <f t="shared" si="17"/>
        <v>#DIV/0!</v>
      </c>
      <c r="AW28" s="538" t="e">
        <f t="shared" si="17"/>
        <v>#DIV/0!</v>
      </c>
      <c r="AX28" s="667">
        <f>SUM(AX29:AX42)</f>
        <v>2500202783.5100017</v>
      </c>
      <c r="AY28" s="667">
        <f t="shared" ref="AY28:BA28" si="121">SUM(AY29:AY42)</f>
        <v>0</v>
      </c>
      <c r="AZ28" s="667">
        <f t="shared" si="121"/>
        <v>0</v>
      </c>
      <c r="BA28" s="667">
        <f t="shared" si="121"/>
        <v>0</v>
      </c>
      <c r="BB28" s="667">
        <f t="shared" ref="BB28" si="122">SUM(BB29:BB42)</f>
        <v>0</v>
      </c>
      <c r="BC28" s="667">
        <f t="shared" ref="BC28" si="123">SUM(BC29:BC42)</f>
        <v>0</v>
      </c>
      <c r="BD28" s="667">
        <f t="shared" ref="BD28" si="124">SUM(BD29:BD42)</f>
        <v>0</v>
      </c>
      <c r="BE28" s="667">
        <f t="shared" ref="BE28" si="125">SUM(BE29:BE42)</f>
        <v>0</v>
      </c>
      <c r="BF28" s="733">
        <f t="shared" si="23"/>
        <v>0</v>
      </c>
      <c r="BG28" s="733" t="e">
        <f t="shared" si="23"/>
        <v>#DIV/0!</v>
      </c>
      <c r="BH28" s="733" t="e">
        <f t="shared" si="23"/>
        <v>#DIV/0!</v>
      </c>
      <c r="BI28" s="536" t="e">
        <f t="shared" si="23"/>
        <v>#DIV/0!</v>
      </c>
      <c r="BJ28" s="537">
        <f t="shared" si="24"/>
        <v>16617507617.759996</v>
      </c>
      <c r="BK28" s="537">
        <f t="shared" si="25"/>
        <v>15589437082.040001</v>
      </c>
      <c r="BL28" s="536">
        <f t="shared" si="26"/>
        <v>0.93813328933749107</v>
      </c>
      <c r="BM28" s="537">
        <f t="shared" si="27"/>
        <v>13089234298.530003</v>
      </c>
      <c r="BN28" s="536">
        <f t="shared" si="10"/>
        <v>0.78767734606246587</v>
      </c>
      <c r="BO28" s="534"/>
      <c r="BP28" s="534"/>
      <c r="BQ28" s="534"/>
      <c r="BR28" s="534"/>
    </row>
    <row r="29" spans="1:70" ht="53.25" customHeight="1" x14ac:dyDescent="0.25">
      <c r="A29" s="539" t="s">
        <v>1949</v>
      </c>
      <c r="B29" s="550" t="s">
        <v>2036</v>
      </c>
      <c r="C29" s="540" t="s">
        <v>2094</v>
      </c>
      <c r="D29" s="540">
        <v>0</v>
      </c>
      <c r="E29" s="740">
        <v>25</v>
      </c>
      <c r="F29" s="740">
        <v>50</v>
      </c>
      <c r="G29" s="741">
        <v>25</v>
      </c>
      <c r="H29" s="740">
        <v>0</v>
      </c>
      <c r="I29" s="541">
        <v>0</v>
      </c>
      <c r="J29" s="541"/>
      <c r="K29" s="541"/>
      <c r="L29" s="541"/>
      <c r="M29" s="542"/>
      <c r="N29" s="542"/>
      <c r="O29" s="542"/>
      <c r="P29" s="546" t="s">
        <v>2142</v>
      </c>
      <c r="Q29" s="545">
        <f t="shared" ref="P29:S42" si="126">IF((I29+M29)/E29&gt;=100%,100%,(I29+M29)/E29)</f>
        <v>0</v>
      </c>
      <c r="R29" s="545">
        <f t="shared" si="126"/>
        <v>0</v>
      </c>
      <c r="S29" s="545">
        <f t="shared" si="126"/>
        <v>0</v>
      </c>
      <c r="T29" s="546" t="s">
        <v>2142</v>
      </c>
      <c r="U29" s="629">
        <v>45657</v>
      </c>
      <c r="V29" s="544">
        <f t="shared" ref="V29:V44" si="127">SUM(D29:G29)</f>
        <v>100</v>
      </c>
      <c r="W29" s="544">
        <f>SUM(H29:N29)</f>
        <v>0</v>
      </c>
      <c r="X29" s="549">
        <f t="shared" ref="X29:X42" si="128">IF(W29/V29&gt;=100%,100%,W29/V29)</f>
        <v>0</v>
      </c>
      <c r="Y29" s="546" t="s">
        <v>2142</v>
      </c>
      <c r="Z29" s="546" t="s">
        <v>2142</v>
      </c>
      <c r="AA29" s="546"/>
      <c r="AB29" s="547"/>
      <c r="AC29" s="547"/>
      <c r="AD29" s="668">
        <f>+'Anexo 5.2 A'!BG25</f>
        <v>0</v>
      </c>
      <c r="AE29" s="730"/>
      <c r="AF29" s="730"/>
      <c r="AG29" s="730"/>
      <c r="AH29" s="675">
        <f>+'Anexo 5.2 A'!BH25</f>
        <v>0</v>
      </c>
      <c r="AI29" s="728"/>
      <c r="AJ29" s="748"/>
      <c r="AK29" s="748"/>
      <c r="AL29" s="549" t="e">
        <f t="shared" si="12"/>
        <v>#DIV/0!</v>
      </c>
      <c r="AM29" s="549" t="e">
        <f>+AI29/AE29</f>
        <v>#DIV/0!</v>
      </c>
      <c r="AN29" s="549" t="e">
        <f t="shared" si="12"/>
        <v>#DIV/0!</v>
      </c>
      <c r="AO29" s="549" t="e">
        <f t="shared" si="12"/>
        <v>#DIV/0!</v>
      </c>
      <c r="AP29" s="675">
        <f>+'Anexo 5.2 A'!BJ25</f>
        <v>0</v>
      </c>
      <c r="AQ29" s="675">
        <f>+'Anexo 5.2 A'!BK25</f>
        <v>0</v>
      </c>
      <c r="AR29" s="675">
        <f>+'Anexo 5.2 A'!BL25</f>
        <v>0</v>
      </c>
      <c r="AS29" s="675">
        <f>+'Anexo 5.2 A'!BM25</f>
        <v>0</v>
      </c>
      <c r="AT29" s="549" t="e">
        <f t="shared" si="17"/>
        <v>#DIV/0!</v>
      </c>
      <c r="AU29" s="549" t="e">
        <f>+AQ29/AE29</f>
        <v>#DIV/0!</v>
      </c>
      <c r="AV29" s="549" t="e">
        <f t="shared" si="17"/>
        <v>#DIV/0!</v>
      </c>
      <c r="AW29" s="549" t="e">
        <f t="shared" si="17"/>
        <v>#DIV/0!</v>
      </c>
      <c r="AX29" s="676">
        <f>+AH29-AP29</f>
        <v>0</v>
      </c>
      <c r="AY29" s="676">
        <f t="shared" ref="AY29:BA42" si="129">+AI29-AQ29</f>
        <v>0</v>
      </c>
      <c r="AZ29" s="676">
        <f t="shared" si="129"/>
        <v>0</v>
      </c>
      <c r="BA29" s="676">
        <f t="shared" si="129"/>
        <v>0</v>
      </c>
      <c r="BB29" s="551"/>
      <c r="BC29" s="551"/>
      <c r="BD29" s="551"/>
      <c r="BE29" s="551"/>
      <c r="BF29" s="737" t="e">
        <f t="shared" si="23"/>
        <v>#DIV/0!</v>
      </c>
      <c r="BG29" s="737" t="e">
        <f t="shared" si="23"/>
        <v>#DIV/0!</v>
      </c>
      <c r="BH29" s="737" t="e">
        <f t="shared" si="23"/>
        <v>#DIV/0!</v>
      </c>
      <c r="BI29" s="547" t="e">
        <f t="shared" si="23"/>
        <v>#DIV/0!</v>
      </c>
      <c r="BJ29" s="730">
        <f t="shared" si="24"/>
        <v>0</v>
      </c>
      <c r="BK29" s="544">
        <f t="shared" si="25"/>
        <v>0</v>
      </c>
      <c r="BL29" s="553" t="e">
        <f t="shared" si="26"/>
        <v>#DIV/0!</v>
      </c>
      <c r="BM29" s="544">
        <f t="shared" si="27"/>
        <v>0</v>
      </c>
      <c r="BN29" s="553" t="e">
        <f t="shared" si="10"/>
        <v>#DIV/0!</v>
      </c>
      <c r="BO29" s="548"/>
      <c r="BP29" s="552" t="s">
        <v>2351</v>
      </c>
      <c r="BQ29" s="552" t="s">
        <v>2331</v>
      </c>
      <c r="BR29" s="569" t="s">
        <v>2324</v>
      </c>
    </row>
    <row r="30" spans="1:70" ht="53.25" customHeight="1" x14ac:dyDescent="0.25">
      <c r="A30" s="539" t="s">
        <v>1950</v>
      </c>
      <c r="B30" s="539" t="s">
        <v>2037</v>
      </c>
      <c r="C30" s="540" t="s">
        <v>2093</v>
      </c>
      <c r="D30" s="540">
        <v>1</v>
      </c>
      <c r="E30" s="740">
        <v>2</v>
      </c>
      <c r="F30" s="740">
        <v>2</v>
      </c>
      <c r="G30" s="741">
        <v>2</v>
      </c>
      <c r="H30" s="541">
        <v>1</v>
      </c>
      <c r="I30" s="541">
        <v>0</v>
      </c>
      <c r="J30" s="541"/>
      <c r="K30" s="541"/>
      <c r="L30" s="541"/>
      <c r="M30" s="542"/>
      <c r="N30" s="542"/>
      <c r="O30" s="542"/>
      <c r="P30" s="545">
        <f t="shared" si="126"/>
        <v>1</v>
      </c>
      <c r="Q30" s="545">
        <f t="shared" si="126"/>
        <v>0</v>
      </c>
      <c r="R30" s="545">
        <f t="shared" si="126"/>
        <v>0</v>
      </c>
      <c r="S30" s="545">
        <f t="shared" si="126"/>
        <v>0</v>
      </c>
      <c r="T30" s="552" t="s">
        <v>2428</v>
      </c>
      <c r="U30" s="629">
        <v>45657</v>
      </c>
      <c r="V30" s="544">
        <f t="shared" si="127"/>
        <v>7</v>
      </c>
      <c r="W30" s="544">
        <f>SUM(H30:N30)</f>
        <v>1</v>
      </c>
      <c r="X30" s="549">
        <f t="shared" si="128"/>
        <v>0.14285714285714285</v>
      </c>
      <c r="Y30" s="546">
        <v>0.1111111111111111</v>
      </c>
      <c r="Z30" s="546">
        <v>0.1111111111111111</v>
      </c>
      <c r="AA30" s="546"/>
      <c r="AB30" s="547"/>
      <c r="AC30" s="547"/>
      <c r="AD30" s="668">
        <f>+'Anexo 5.2 A'!BG26</f>
        <v>13894093675.280001</v>
      </c>
      <c r="AE30" s="730"/>
      <c r="AF30" s="730"/>
      <c r="AG30" s="730"/>
      <c r="AH30" s="675">
        <f>+'Anexo 5.2 A'!BH26</f>
        <v>13644872973.808889</v>
      </c>
      <c r="AI30" s="728"/>
      <c r="AJ30" s="743"/>
      <c r="AK30" s="743"/>
      <c r="AL30" s="549">
        <f t="shared" si="12"/>
        <v>0.98206283135153194</v>
      </c>
      <c r="AM30" s="549" t="e">
        <f t="shared" si="12"/>
        <v>#DIV/0!</v>
      </c>
      <c r="AN30" s="549" t="e">
        <f t="shared" si="12"/>
        <v>#DIV/0!</v>
      </c>
      <c r="AO30" s="549" t="e">
        <f t="shared" si="12"/>
        <v>#DIV/0!</v>
      </c>
      <c r="AP30" s="675">
        <f>+'Anexo 5.2 A'!BJ26</f>
        <v>11356195660.538889</v>
      </c>
      <c r="AQ30" s="675">
        <f>+'Anexo 5.2 A'!BK26</f>
        <v>0</v>
      </c>
      <c r="AR30" s="675">
        <f>+'Anexo 5.2 A'!BL26</f>
        <v>0</v>
      </c>
      <c r="AS30" s="675">
        <f>+'Anexo 5.2 A'!BM26</f>
        <v>0</v>
      </c>
      <c r="AT30" s="549">
        <f t="shared" si="17"/>
        <v>0.81733979386820521</v>
      </c>
      <c r="AU30" s="549" t="e">
        <f t="shared" si="17"/>
        <v>#DIV/0!</v>
      </c>
      <c r="AV30" s="549" t="e">
        <f t="shared" si="17"/>
        <v>#DIV/0!</v>
      </c>
      <c r="AW30" s="549" t="e">
        <f t="shared" si="17"/>
        <v>#DIV/0!</v>
      </c>
      <c r="AX30" s="676">
        <f>+AH30-AP30</f>
        <v>2288677313.2700005</v>
      </c>
      <c r="AY30" s="676">
        <f t="shared" si="129"/>
        <v>0</v>
      </c>
      <c r="AZ30" s="676">
        <f t="shared" si="129"/>
        <v>0</v>
      </c>
      <c r="BA30" s="676">
        <f t="shared" si="129"/>
        <v>0</v>
      </c>
      <c r="BB30" s="551"/>
      <c r="BC30" s="551"/>
      <c r="BD30" s="551"/>
      <c r="BE30" s="551"/>
      <c r="BF30" s="737">
        <f t="shared" si="23"/>
        <v>0</v>
      </c>
      <c r="BG30" s="737" t="e">
        <f t="shared" si="23"/>
        <v>#DIV/0!</v>
      </c>
      <c r="BH30" s="737" t="e">
        <f t="shared" si="23"/>
        <v>#DIV/0!</v>
      </c>
      <c r="BI30" s="547" t="e">
        <f t="shared" si="23"/>
        <v>#DIV/0!</v>
      </c>
      <c r="BJ30" s="730">
        <f t="shared" si="24"/>
        <v>13894093675.280001</v>
      </c>
      <c r="BK30" s="544">
        <f t="shared" si="25"/>
        <v>13644872973.808889</v>
      </c>
      <c r="BL30" s="553">
        <f t="shared" si="26"/>
        <v>0.98206283135153194</v>
      </c>
      <c r="BM30" s="544">
        <f t="shared" si="27"/>
        <v>11356195660.538889</v>
      </c>
      <c r="BN30" s="553">
        <f t="shared" si="10"/>
        <v>0.81733979386820521</v>
      </c>
      <c r="BO30" s="548"/>
      <c r="BP30" s="552" t="s">
        <v>2351</v>
      </c>
      <c r="BQ30" s="552" t="s">
        <v>2331</v>
      </c>
      <c r="BR30" s="761" t="s">
        <v>2324</v>
      </c>
    </row>
    <row r="31" spans="1:70" ht="53.25" customHeight="1" x14ac:dyDescent="0.25">
      <c r="A31" s="539" t="s">
        <v>1951</v>
      </c>
      <c r="B31" s="539" t="s">
        <v>2038</v>
      </c>
      <c r="C31" s="540" t="s">
        <v>2093</v>
      </c>
      <c r="D31" s="540">
        <v>1</v>
      </c>
      <c r="E31" s="740">
        <v>1</v>
      </c>
      <c r="F31" s="740">
        <v>1</v>
      </c>
      <c r="G31" s="741">
        <v>1</v>
      </c>
      <c r="H31" s="541">
        <v>1</v>
      </c>
      <c r="I31" s="541">
        <v>0</v>
      </c>
      <c r="J31" s="541"/>
      <c r="K31" s="541"/>
      <c r="L31" s="541"/>
      <c r="M31" s="542"/>
      <c r="N31" s="542"/>
      <c r="O31" s="542"/>
      <c r="P31" s="545">
        <f t="shared" si="126"/>
        <v>1</v>
      </c>
      <c r="Q31" s="545">
        <f t="shared" si="126"/>
        <v>0</v>
      </c>
      <c r="R31" s="545">
        <f t="shared" si="126"/>
        <v>0</v>
      </c>
      <c r="S31" s="545">
        <f t="shared" si="126"/>
        <v>0</v>
      </c>
      <c r="T31" s="552" t="s">
        <v>2099</v>
      </c>
      <c r="U31" s="629">
        <v>45657</v>
      </c>
      <c r="V31" s="544">
        <f t="shared" si="127"/>
        <v>4</v>
      </c>
      <c r="W31" s="544">
        <f>SUM(H31:N31)</f>
        <v>1</v>
      </c>
      <c r="X31" s="549">
        <f t="shared" si="128"/>
        <v>0.25</v>
      </c>
      <c r="Y31" s="546">
        <v>0.1111111111111111</v>
      </c>
      <c r="Z31" s="546">
        <v>0.1111111111111111</v>
      </c>
      <c r="AA31" s="546"/>
      <c r="AB31" s="547"/>
      <c r="AC31" s="547"/>
      <c r="AD31" s="668">
        <f>+'Anexo 5.2 A'!BG27</f>
        <v>389059134.63999999</v>
      </c>
      <c r="AE31" s="730"/>
      <c r="AF31" s="730"/>
      <c r="AG31" s="730"/>
      <c r="AH31" s="675">
        <f>+'Anexo 5.2 A'!BH27</f>
        <v>277794872.60444444</v>
      </c>
      <c r="AI31" s="728"/>
      <c r="AJ31" s="743"/>
      <c r="AK31" s="743"/>
      <c r="AL31" s="549">
        <f t="shared" si="12"/>
        <v>0.71401709372918487</v>
      </c>
      <c r="AM31" s="549" t="e">
        <f t="shared" si="12"/>
        <v>#DIV/0!</v>
      </c>
      <c r="AN31" s="549" t="e">
        <f t="shared" si="12"/>
        <v>#DIV/0!</v>
      </c>
      <c r="AO31" s="549" t="e">
        <f t="shared" si="12"/>
        <v>#DIV/0!</v>
      </c>
      <c r="AP31" s="675">
        <f>+'Anexo 5.2 A'!BJ27</f>
        <v>247576948.28444439</v>
      </c>
      <c r="AQ31" s="675">
        <f>+'Anexo 5.2 A'!BK27</f>
        <v>0</v>
      </c>
      <c r="AR31" s="675">
        <f>+'Anexo 5.2 A'!BL27</f>
        <v>0</v>
      </c>
      <c r="AS31" s="675">
        <f>+'Anexo 5.2 A'!BM27</f>
        <v>0</v>
      </c>
      <c r="AT31" s="549">
        <f t="shared" si="17"/>
        <v>0.63634786139523403</v>
      </c>
      <c r="AU31" s="549" t="e">
        <f t="shared" si="17"/>
        <v>#DIV/0!</v>
      </c>
      <c r="AV31" s="549" t="e">
        <f t="shared" si="17"/>
        <v>#DIV/0!</v>
      </c>
      <c r="AW31" s="549" t="e">
        <f t="shared" si="17"/>
        <v>#DIV/0!</v>
      </c>
      <c r="AX31" s="676">
        <f>+AH31-AP31</f>
        <v>30217924.320000052</v>
      </c>
      <c r="AY31" s="676">
        <f t="shared" si="129"/>
        <v>0</v>
      </c>
      <c r="AZ31" s="676">
        <f t="shared" si="129"/>
        <v>0</v>
      </c>
      <c r="BA31" s="676">
        <f t="shared" si="129"/>
        <v>0</v>
      </c>
      <c r="BB31" s="551"/>
      <c r="BC31" s="551"/>
      <c r="BD31" s="551"/>
      <c r="BE31" s="551"/>
      <c r="BF31" s="737">
        <f t="shared" si="23"/>
        <v>0</v>
      </c>
      <c r="BG31" s="737" t="e">
        <f t="shared" si="23"/>
        <v>#DIV/0!</v>
      </c>
      <c r="BH31" s="737" t="e">
        <f t="shared" si="23"/>
        <v>#DIV/0!</v>
      </c>
      <c r="BI31" s="547" t="e">
        <f t="shared" si="23"/>
        <v>#DIV/0!</v>
      </c>
      <c r="BJ31" s="730">
        <f t="shared" si="24"/>
        <v>389059134.63999999</v>
      </c>
      <c r="BK31" s="544">
        <f t="shared" si="25"/>
        <v>277794872.60444444</v>
      </c>
      <c r="BL31" s="553">
        <f t="shared" si="26"/>
        <v>0.71401709372918487</v>
      </c>
      <c r="BM31" s="544">
        <f t="shared" si="27"/>
        <v>247576948.28444439</v>
      </c>
      <c r="BN31" s="553">
        <f t="shared" si="10"/>
        <v>0.63634786139523403</v>
      </c>
      <c r="BO31" s="548"/>
      <c r="BP31" s="552" t="s">
        <v>2351</v>
      </c>
      <c r="BQ31" s="552" t="s">
        <v>2331</v>
      </c>
      <c r="BR31" s="569" t="s">
        <v>2324</v>
      </c>
    </row>
    <row r="32" spans="1:70" ht="53.25" customHeight="1" x14ac:dyDescent="0.25">
      <c r="A32" s="539" t="s">
        <v>1952</v>
      </c>
      <c r="B32" s="539" t="s">
        <v>2039</v>
      </c>
      <c r="C32" s="540" t="s">
        <v>2093</v>
      </c>
      <c r="D32" s="540">
        <v>1</v>
      </c>
      <c r="E32" s="740">
        <v>1</v>
      </c>
      <c r="F32" s="740">
        <v>0</v>
      </c>
      <c r="G32" s="741">
        <v>1</v>
      </c>
      <c r="H32" s="541">
        <v>0</v>
      </c>
      <c r="I32" s="541">
        <v>0</v>
      </c>
      <c r="J32" s="541"/>
      <c r="K32" s="541"/>
      <c r="L32" s="541"/>
      <c r="M32" s="542"/>
      <c r="N32" s="542"/>
      <c r="O32" s="542"/>
      <c r="P32" s="545">
        <f t="shared" si="126"/>
        <v>0</v>
      </c>
      <c r="Q32" s="545">
        <f t="shared" si="126"/>
        <v>0</v>
      </c>
      <c r="R32" s="545" t="e">
        <f t="shared" si="126"/>
        <v>#DIV/0!</v>
      </c>
      <c r="S32" s="545">
        <f t="shared" si="126"/>
        <v>0</v>
      </c>
      <c r="T32" s="546" t="s">
        <v>2142</v>
      </c>
      <c r="U32" s="629">
        <v>45657</v>
      </c>
      <c r="V32" s="544">
        <f t="shared" si="127"/>
        <v>3</v>
      </c>
      <c r="W32" s="544">
        <f>SUM(H32:N32)</f>
        <v>0</v>
      </c>
      <c r="X32" s="549">
        <f t="shared" si="128"/>
        <v>0</v>
      </c>
      <c r="Y32" s="546">
        <v>0.1111111111111111</v>
      </c>
      <c r="Z32" s="546">
        <v>0.1111111111111111</v>
      </c>
      <c r="AA32" s="546"/>
      <c r="AB32" s="547"/>
      <c r="AC32" s="547"/>
      <c r="AD32" s="668">
        <f>+'Anexo 5.2 A'!BG28</f>
        <v>0</v>
      </c>
      <c r="AE32" s="730"/>
      <c r="AF32" s="730"/>
      <c r="AG32" s="730"/>
      <c r="AH32" s="675">
        <f>+'Anexo 5.2 A'!BH28</f>
        <v>0</v>
      </c>
      <c r="AI32" s="728"/>
      <c r="AJ32" s="743"/>
      <c r="AK32" s="743"/>
      <c r="AL32" s="549" t="e">
        <f t="shared" si="12"/>
        <v>#DIV/0!</v>
      </c>
      <c r="AM32" s="549" t="e">
        <f t="shared" si="12"/>
        <v>#DIV/0!</v>
      </c>
      <c r="AN32" s="549" t="e">
        <f t="shared" si="12"/>
        <v>#DIV/0!</v>
      </c>
      <c r="AO32" s="549" t="e">
        <f t="shared" si="12"/>
        <v>#DIV/0!</v>
      </c>
      <c r="AP32" s="675">
        <f>+'Anexo 5.2 A'!BJ28</f>
        <v>0</v>
      </c>
      <c r="AQ32" s="675">
        <f>+'Anexo 5.2 A'!BK28</f>
        <v>0</v>
      </c>
      <c r="AR32" s="675">
        <f>+'Anexo 5.2 A'!BL28</f>
        <v>0</v>
      </c>
      <c r="AS32" s="675">
        <f>+'Anexo 5.2 A'!BM28</f>
        <v>0</v>
      </c>
      <c r="AT32" s="549" t="e">
        <f t="shared" si="17"/>
        <v>#DIV/0!</v>
      </c>
      <c r="AU32" s="549" t="e">
        <f t="shared" si="17"/>
        <v>#DIV/0!</v>
      </c>
      <c r="AV32" s="549" t="e">
        <f t="shared" si="17"/>
        <v>#DIV/0!</v>
      </c>
      <c r="AW32" s="549" t="e">
        <f t="shared" si="17"/>
        <v>#DIV/0!</v>
      </c>
      <c r="AX32" s="676">
        <f>+AH32-AP32</f>
        <v>0</v>
      </c>
      <c r="AY32" s="676">
        <f t="shared" si="129"/>
        <v>0</v>
      </c>
      <c r="AZ32" s="676">
        <f t="shared" si="129"/>
        <v>0</v>
      </c>
      <c r="BA32" s="676">
        <f t="shared" si="129"/>
        <v>0</v>
      </c>
      <c r="BB32" s="551"/>
      <c r="BC32" s="551"/>
      <c r="BD32" s="551"/>
      <c r="BE32" s="551"/>
      <c r="BF32" s="737" t="e">
        <f t="shared" si="23"/>
        <v>#DIV/0!</v>
      </c>
      <c r="BG32" s="737" t="e">
        <f t="shared" si="23"/>
        <v>#DIV/0!</v>
      </c>
      <c r="BH32" s="737" t="e">
        <f t="shared" si="23"/>
        <v>#DIV/0!</v>
      </c>
      <c r="BI32" s="547" t="e">
        <f t="shared" si="23"/>
        <v>#DIV/0!</v>
      </c>
      <c r="BJ32" s="730">
        <f t="shared" si="24"/>
        <v>0</v>
      </c>
      <c r="BK32" s="544">
        <f t="shared" si="25"/>
        <v>0</v>
      </c>
      <c r="BL32" s="553" t="e">
        <f t="shared" si="26"/>
        <v>#DIV/0!</v>
      </c>
      <c r="BM32" s="544">
        <f t="shared" si="27"/>
        <v>0</v>
      </c>
      <c r="BN32" s="553" t="e">
        <f t="shared" si="10"/>
        <v>#DIV/0!</v>
      </c>
      <c r="BO32" s="548"/>
      <c r="BP32" s="552" t="s">
        <v>2351</v>
      </c>
      <c r="BQ32" s="552" t="s">
        <v>2331</v>
      </c>
      <c r="BR32" s="761" t="s">
        <v>2324</v>
      </c>
    </row>
    <row r="33" spans="1:70" ht="53.25" customHeight="1" x14ac:dyDescent="0.25">
      <c r="A33" s="539" t="s">
        <v>1953</v>
      </c>
      <c r="B33" s="539" t="s">
        <v>2040</v>
      </c>
      <c r="C33" s="540" t="s">
        <v>2093</v>
      </c>
      <c r="D33" s="540">
        <v>0</v>
      </c>
      <c r="E33" s="740">
        <v>2</v>
      </c>
      <c r="F33" s="740">
        <v>1</v>
      </c>
      <c r="G33" s="741">
        <v>1</v>
      </c>
      <c r="H33" s="541">
        <v>0</v>
      </c>
      <c r="I33" s="541">
        <v>0</v>
      </c>
      <c r="J33" s="541"/>
      <c r="K33" s="541"/>
      <c r="L33" s="541"/>
      <c r="M33" s="542"/>
      <c r="N33" s="542"/>
      <c r="O33" s="542"/>
      <c r="P33" s="546" t="s">
        <v>2142</v>
      </c>
      <c r="Q33" s="545"/>
      <c r="R33" s="545"/>
      <c r="S33" s="545"/>
      <c r="T33" s="546" t="s">
        <v>2142</v>
      </c>
      <c r="U33" s="629">
        <v>45657</v>
      </c>
      <c r="V33" s="544">
        <f t="shared" si="127"/>
        <v>4</v>
      </c>
      <c r="W33" s="544">
        <f t="shared" ref="W33:W42" si="130">SUM(H33:N33)</f>
        <v>0</v>
      </c>
      <c r="X33" s="549">
        <f t="shared" si="128"/>
        <v>0</v>
      </c>
      <c r="Y33" s="546" t="s">
        <v>2142</v>
      </c>
      <c r="Z33" s="546" t="s">
        <v>2142</v>
      </c>
      <c r="AA33" s="546"/>
      <c r="AB33" s="547"/>
      <c r="AC33" s="547"/>
      <c r="AD33" s="668">
        <f>+'Anexo 5.2 A'!BG29</f>
        <v>0</v>
      </c>
      <c r="AE33" s="730"/>
      <c r="AF33" s="730"/>
      <c r="AG33" s="730"/>
      <c r="AH33" s="675">
        <f>+'Anexo 5.2 A'!BH29</f>
        <v>0</v>
      </c>
      <c r="AI33" s="728"/>
      <c r="AJ33" s="743"/>
      <c r="AK33" s="743"/>
      <c r="AL33" s="549" t="e">
        <f t="shared" si="12"/>
        <v>#DIV/0!</v>
      </c>
      <c r="AM33" s="549" t="e">
        <f t="shared" ref="AM33:AM40" si="131">+AI33/AE33</f>
        <v>#DIV/0!</v>
      </c>
      <c r="AN33" s="549" t="e">
        <f t="shared" ref="AN33:AN40" si="132">+AJ33/AF33</f>
        <v>#DIV/0!</v>
      </c>
      <c r="AO33" s="549" t="e">
        <f t="shared" ref="AO33:AO40" si="133">+AK33/AG33</f>
        <v>#DIV/0!</v>
      </c>
      <c r="AP33" s="675">
        <f>+'Anexo 5.2 A'!BJ29</f>
        <v>0</v>
      </c>
      <c r="AQ33" s="675">
        <f>+'Anexo 5.2 A'!BK29</f>
        <v>0</v>
      </c>
      <c r="AR33" s="675">
        <f>+'Anexo 5.2 A'!BL29</f>
        <v>0</v>
      </c>
      <c r="AS33" s="675">
        <f>+'Anexo 5.2 A'!BM29</f>
        <v>0</v>
      </c>
      <c r="AT33" s="549" t="e">
        <f t="shared" ref="AT33:AT40" si="134">+AP33/AD33</f>
        <v>#DIV/0!</v>
      </c>
      <c r="AU33" s="549" t="e">
        <f t="shared" ref="AU33:AU40" si="135">+AQ33/AE33</f>
        <v>#DIV/0!</v>
      </c>
      <c r="AV33" s="549" t="e">
        <f t="shared" ref="AV33:AV40" si="136">+AR33/AF33</f>
        <v>#DIV/0!</v>
      </c>
      <c r="AW33" s="549" t="e">
        <f t="shared" ref="AW33:AW40" si="137">+AS33/AG33</f>
        <v>#DIV/0!</v>
      </c>
      <c r="AX33" s="676">
        <f t="shared" ref="AX33:AX42" si="138">+AH33-AP33</f>
        <v>0</v>
      </c>
      <c r="AY33" s="676">
        <f t="shared" si="129"/>
        <v>0</v>
      </c>
      <c r="AZ33" s="676">
        <f t="shared" si="129"/>
        <v>0</v>
      </c>
      <c r="BA33" s="676">
        <f t="shared" si="129"/>
        <v>0</v>
      </c>
      <c r="BB33" s="551"/>
      <c r="BC33" s="551"/>
      <c r="BD33" s="551"/>
      <c r="BE33" s="551"/>
      <c r="BF33" s="737" t="e">
        <f t="shared" si="23"/>
        <v>#DIV/0!</v>
      </c>
      <c r="BG33" s="737"/>
      <c r="BH33" s="737"/>
      <c r="BI33" s="547"/>
      <c r="BJ33" s="730">
        <f t="shared" si="24"/>
        <v>0</v>
      </c>
      <c r="BK33" s="544">
        <f t="shared" si="25"/>
        <v>0</v>
      </c>
      <c r="BL33" s="553" t="e">
        <f t="shared" si="26"/>
        <v>#DIV/0!</v>
      </c>
      <c r="BM33" s="544">
        <f t="shared" si="27"/>
        <v>0</v>
      </c>
      <c r="BN33" s="553" t="e">
        <f t="shared" si="10"/>
        <v>#DIV/0!</v>
      </c>
      <c r="BO33" s="548"/>
      <c r="BP33" s="552" t="s">
        <v>2351</v>
      </c>
      <c r="BQ33" s="552" t="s">
        <v>2331</v>
      </c>
      <c r="BR33" s="761" t="s">
        <v>2324</v>
      </c>
    </row>
    <row r="34" spans="1:70" ht="53.25" customHeight="1" x14ac:dyDescent="0.25">
      <c r="A34" s="539" t="s">
        <v>1954</v>
      </c>
      <c r="B34" s="539" t="s">
        <v>2041</v>
      </c>
      <c r="C34" s="540" t="s">
        <v>2094</v>
      </c>
      <c r="D34" s="723">
        <v>0</v>
      </c>
      <c r="E34" s="724">
        <v>50</v>
      </c>
      <c r="F34" s="724">
        <v>50</v>
      </c>
      <c r="G34" s="725">
        <v>0</v>
      </c>
      <c r="H34" s="723">
        <v>0</v>
      </c>
      <c r="I34" s="541">
        <v>0</v>
      </c>
      <c r="J34" s="541"/>
      <c r="K34" s="541"/>
      <c r="L34" s="541"/>
      <c r="M34" s="542"/>
      <c r="N34" s="542"/>
      <c r="O34" s="542"/>
      <c r="P34" s="546" t="s">
        <v>2142</v>
      </c>
      <c r="Q34" s="545"/>
      <c r="R34" s="545"/>
      <c r="S34" s="545"/>
      <c r="T34" s="546" t="s">
        <v>2142</v>
      </c>
      <c r="U34" s="629">
        <v>45657</v>
      </c>
      <c r="V34" s="544">
        <f t="shared" si="127"/>
        <v>100</v>
      </c>
      <c r="W34" s="544">
        <f t="shared" si="130"/>
        <v>0</v>
      </c>
      <c r="X34" s="549">
        <f t="shared" si="128"/>
        <v>0</v>
      </c>
      <c r="Y34" s="546" t="s">
        <v>2142</v>
      </c>
      <c r="Z34" s="546" t="s">
        <v>2142</v>
      </c>
      <c r="AA34" s="546"/>
      <c r="AB34" s="547"/>
      <c r="AC34" s="547"/>
      <c r="AD34" s="668">
        <f>+'Anexo 5.2 A'!BG30</f>
        <v>0</v>
      </c>
      <c r="AE34" s="730"/>
      <c r="AF34" s="730"/>
      <c r="AG34" s="730"/>
      <c r="AH34" s="675">
        <f>+'Anexo 5.2 A'!BH30</f>
        <v>0</v>
      </c>
      <c r="AI34" s="728"/>
      <c r="AJ34" s="743"/>
      <c r="AK34" s="743"/>
      <c r="AL34" s="549" t="e">
        <f t="shared" si="12"/>
        <v>#DIV/0!</v>
      </c>
      <c r="AM34" s="549" t="e">
        <f t="shared" si="131"/>
        <v>#DIV/0!</v>
      </c>
      <c r="AN34" s="549" t="e">
        <f t="shared" si="132"/>
        <v>#DIV/0!</v>
      </c>
      <c r="AO34" s="549" t="e">
        <f t="shared" si="133"/>
        <v>#DIV/0!</v>
      </c>
      <c r="AP34" s="675">
        <f>+'Anexo 5.2 A'!BJ30</f>
        <v>0</v>
      </c>
      <c r="AQ34" s="675">
        <f>+'Anexo 5.2 A'!BK30</f>
        <v>0</v>
      </c>
      <c r="AR34" s="675">
        <f>+'Anexo 5.2 A'!BL30</f>
        <v>0</v>
      </c>
      <c r="AS34" s="675">
        <f>+'Anexo 5.2 A'!BM30</f>
        <v>0</v>
      </c>
      <c r="AT34" s="549" t="e">
        <f t="shared" si="134"/>
        <v>#DIV/0!</v>
      </c>
      <c r="AU34" s="549" t="e">
        <f t="shared" si="135"/>
        <v>#DIV/0!</v>
      </c>
      <c r="AV34" s="549" t="e">
        <f t="shared" si="136"/>
        <v>#DIV/0!</v>
      </c>
      <c r="AW34" s="549" t="e">
        <f t="shared" si="137"/>
        <v>#DIV/0!</v>
      </c>
      <c r="AX34" s="676">
        <f t="shared" si="138"/>
        <v>0</v>
      </c>
      <c r="AY34" s="676">
        <f t="shared" si="129"/>
        <v>0</v>
      </c>
      <c r="AZ34" s="676">
        <f t="shared" si="129"/>
        <v>0</v>
      </c>
      <c r="BA34" s="676">
        <f t="shared" si="129"/>
        <v>0</v>
      </c>
      <c r="BB34" s="551"/>
      <c r="BC34" s="551"/>
      <c r="BD34" s="551"/>
      <c r="BE34" s="551"/>
      <c r="BF34" s="737" t="e">
        <f t="shared" si="23"/>
        <v>#DIV/0!</v>
      </c>
      <c r="BG34" s="737"/>
      <c r="BH34" s="737"/>
      <c r="BI34" s="547"/>
      <c r="BJ34" s="730">
        <f t="shared" si="24"/>
        <v>0</v>
      </c>
      <c r="BK34" s="544">
        <f t="shared" si="25"/>
        <v>0</v>
      </c>
      <c r="BL34" s="553" t="e">
        <f t="shared" si="26"/>
        <v>#DIV/0!</v>
      </c>
      <c r="BM34" s="544">
        <f t="shared" si="27"/>
        <v>0</v>
      </c>
      <c r="BN34" s="553" t="e">
        <f t="shared" si="10"/>
        <v>#DIV/0!</v>
      </c>
      <c r="BO34" s="548"/>
      <c r="BP34" s="552" t="s">
        <v>2351</v>
      </c>
      <c r="BQ34" s="552" t="s">
        <v>7</v>
      </c>
      <c r="BR34" s="761" t="s">
        <v>2324</v>
      </c>
    </row>
    <row r="35" spans="1:70" ht="53.25" customHeight="1" x14ac:dyDescent="0.25">
      <c r="A35" s="539" t="s">
        <v>1955</v>
      </c>
      <c r="B35" s="539" t="s">
        <v>2042</v>
      </c>
      <c r="C35" s="540" t="s">
        <v>2093</v>
      </c>
      <c r="D35" s="540">
        <v>1</v>
      </c>
      <c r="E35" s="740">
        <v>1</v>
      </c>
      <c r="F35" s="740">
        <v>1</v>
      </c>
      <c r="G35" s="741">
        <v>1</v>
      </c>
      <c r="H35" s="541">
        <v>1</v>
      </c>
      <c r="I35" s="541">
        <v>0</v>
      </c>
      <c r="J35" s="541"/>
      <c r="K35" s="541"/>
      <c r="L35" s="541"/>
      <c r="M35" s="542"/>
      <c r="N35" s="542"/>
      <c r="O35" s="542"/>
      <c r="P35" s="738">
        <f t="shared" si="126"/>
        <v>1</v>
      </c>
      <c r="Q35" s="545"/>
      <c r="R35" s="545"/>
      <c r="S35" s="545"/>
      <c r="T35" s="552" t="s">
        <v>2100</v>
      </c>
      <c r="U35" s="629">
        <v>45657</v>
      </c>
      <c r="V35" s="544">
        <f t="shared" si="127"/>
        <v>4</v>
      </c>
      <c r="W35" s="544">
        <f t="shared" si="130"/>
        <v>1</v>
      </c>
      <c r="X35" s="549">
        <f t="shared" si="128"/>
        <v>0.25</v>
      </c>
      <c r="Y35" s="546">
        <v>0.1111111111111111</v>
      </c>
      <c r="Z35" s="546">
        <v>0.1111111111111111</v>
      </c>
      <c r="AA35" s="546"/>
      <c r="AB35" s="547"/>
      <c r="AC35" s="547"/>
      <c r="AD35" s="668">
        <f>+'Anexo 5.2 A'!BG31</f>
        <v>389059134.63999999</v>
      </c>
      <c r="AE35" s="730"/>
      <c r="AF35" s="730"/>
      <c r="AG35" s="730"/>
      <c r="AH35" s="675">
        <f>+'Anexo 5.2 A'!BH31</f>
        <v>277794872.60444444</v>
      </c>
      <c r="AI35" s="728"/>
      <c r="AJ35" s="743"/>
      <c r="AK35" s="743"/>
      <c r="AL35" s="549">
        <f t="shared" si="12"/>
        <v>0.71401709372918487</v>
      </c>
      <c r="AM35" s="549" t="e">
        <f t="shared" si="131"/>
        <v>#DIV/0!</v>
      </c>
      <c r="AN35" s="549" t="e">
        <f t="shared" si="132"/>
        <v>#DIV/0!</v>
      </c>
      <c r="AO35" s="549" t="e">
        <f t="shared" si="133"/>
        <v>#DIV/0!</v>
      </c>
      <c r="AP35" s="675">
        <f>+'Anexo 5.2 A'!BJ31</f>
        <v>247576948.28444439</v>
      </c>
      <c r="AQ35" s="675">
        <f>+'Anexo 5.2 A'!BK31</f>
        <v>0</v>
      </c>
      <c r="AR35" s="675">
        <f>+'Anexo 5.2 A'!BL31</f>
        <v>0</v>
      </c>
      <c r="AS35" s="675">
        <f>+'Anexo 5.2 A'!BM31</f>
        <v>0</v>
      </c>
      <c r="AT35" s="549">
        <f t="shared" si="134"/>
        <v>0.63634786139523403</v>
      </c>
      <c r="AU35" s="549" t="e">
        <f t="shared" si="135"/>
        <v>#DIV/0!</v>
      </c>
      <c r="AV35" s="549" t="e">
        <f t="shared" si="136"/>
        <v>#DIV/0!</v>
      </c>
      <c r="AW35" s="549" t="e">
        <f t="shared" si="137"/>
        <v>#DIV/0!</v>
      </c>
      <c r="AX35" s="676">
        <f t="shared" si="138"/>
        <v>30217924.320000052</v>
      </c>
      <c r="AY35" s="676">
        <f t="shared" si="129"/>
        <v>0</v>
      </c>
      <c r="AZ35" s="676">
        <f t="shared" si="129"/>
        <v>0</v>
      </c>
      <c r="BA35" s="676">
        <f t="shared" si="129"/>
        <v>0</v>
      </c>
      <c r="BB35" s="551"/>
      <c r="BC35" s="551"/>
      <c r="BD35" s="551"/>
      <c r="BE35" s="551"/>
      <c r="BF35" s="737">
        <f t="shared" si="23"/>
        <v>0</v>
      </c>
      <c r="BG35" s="737"/>
      <c r="BH35" s="737"/>
      <c r="BI35" s="547"/>
      <c r="BJ35" s="730">
        <f t="shared" si="24"/>
        <v>389059134.63999999</v>
      </c>
      <c r="BK35" s="544">
        <f t="shared" si="25"/>
        <v>277794872.60444444</v>
      </c>
      <c r="BL35" s="553">
        <f t="shared" si="26"/>
        <v>0.71401709372918487</v>
      </c>
      <c r="BM35" s="544">
        <f t="shared" si="27"/>
        <v>247576948.28444439</v>
      </c>
      <c r="BN35" s="553">
        <f t="shared" si="10"/>
        <v>0.63634786139523403</v>
      </c>
      <c r="BO35" s="548"/>
      <c r="BP35" s="552" t="s">
        <v>2351</v>
      </c>
      <c r="BQ35" s="552" t="s">
        <v>7</v>
      </c>
      <c r="BR35" s="761" t="s">
        <v>2324</v>
      </c>
    </row>
    <row r="36" spans="1:70" ht="53.25" customHeight="1" x14ac:dyDescent="0.25">
      <c r="A36" s="539" t="s">
        <v>1956</v>
      </c>
      <c r="B36" s="539" t="s">
        <v>2043</v>
      </c>
      <c r="C36" s="540" t="s">
        <v>2093</v>
      </c>
      <c r="D36" s="540">
        <v>0</v>
      </c>
      <c r="E36" s="740">
        <v>1</v>
      </c>
      <c r="F36" s="740">
        <v>1</v>
      </c>
      <c r="G36" s="741">
        <v>1</v>
      </c>
      <c r="H36" s="541">
        <v>0</v>
      </c>
      <c r="I36" s="541">
        <v>0</v>
      </c>
      <c r="J36" s="541"/>
      <c r="K36" s="541"/>
      <c r="L36" s="541"/>
      <c r="M36" s="542"/>
      <c r="N36" s="542"/>
      <c r="O36" s="542"/>
      <c r="P36" s="546" t="s">
        <v>2142</v>
      </c>
      <c r="Q36" s="545"/>
      <c r="R36" s="545"/>
      <c r="S36" s="545"/>
      <c r="T36" s="546" t="s">
        <v>2142</v>
      </c>
      <c r="U36" s="629">
        <v>45657</v>
      </c>
      <c r="V36" s="544">
        <f t="shared" si="127"/>
        <v>3</v>
      </c>
      <c r="W36" s="544">
        <f t="shared" si="130"/>
        <v>0</v>
      </c>
      <c r="X36" s="549">
        <f t="shared" si="128"/>
        <v>0</v>
      </c>
      <c r="Y36" s="546" t="s">
        <v>2142</v>
      </c>
      <c r="Z36" s="546" t="s">
        <v>2142</v>
      </c>
      <c r="AA36" s="546"/>
      <c r="AB36" s="547"/>
      <c r="AC36" s="547"/>
      <c r="AD36" s="668">
        <f>+'Anexo 5.2 A'!BG32</f>
        <v>0</v>
      </c>
      <c r="AE36" s="730"/>
      <c r="AF36" s="730"/>
      <c r="AG36" s="730"/>
      <c r="AH36" s="675">
        <f>+'Anexo 5.2 A'!BH32</f>
        <v>0</v>
      </c>
      <c r="AI36" s="728"/>
      <c r="AJ36" s="743"/>
      <c r="AK36" s="743"/>
      <c r="AL36" s="549" t="e">
        <f t="shared" si="12"/>
        <v>#DIV/0!</v>
      </c>
      <c r="AM36" s="549" t="e">
        <f t="shared" si="131"/>
        <v>#DIV/0!</v>
      </c>
      <c r="AN36" s="549" t="e">
        <f t="shared" si="132"/>
        <v>#DIV/0!</v>
      </c>
      <c r="AO36" s="549" t="e">
        <f t="shared" si="133"/>
        <v>#DIV/0!</v>
      </c>
      <c r="AP36" s="675">
        <f>+'Anexo 5.2 A'!BJ32</f>
        <v>0</v>
      </c>
      <c r="AQ36" s="675">
        <f>+'Anexo 5.2 A'!BK32</f>
        <v>0</v>
      </c>
      <c r="AR36" s="675">
        <f>+'Anexo 5.2 A'!BL32</f>
        <v>0</v>
      </c>
      <c r="AS36" s="675">
        <f>+'Anexo 5.2 A'!BM32</f>
        <v>0</v>
      </c>
      <c r="AT36" s="549" t="e">
        <f t="shared" si="134"/>
        <v>#DIV/0!</v>
      </c>
      <c r="AU36" s="549" t="e">
        <f t="shared" si="135"/>
        <v>#DIV/0!</v>
      </c>
      <c r="AV36" s="549" t="e">
        <f t="shared" si="136"/>
        <v>#DIV/0!</v>
      </c>
      <c r="AW36" s="549" t="e">
        <f t="shared" si="137"/>
        <v>#DIV/0!</v>
      </c>
      <c r="AX36" s="676">
        <f t="shared" si="138"/>
        <v>0</v>
      </c>
      <c r="AY36" s="676">
        <f t="shared" si="129"/>
        <v>0</v>
      </c>
      <c r="AZ36" s="676">
        <f t="shared" si="129"/>
        <v>0</v>
      </c>
      <c r="BA36" s="676">
        <f t="shared" si="129"/>
        <v>0</v>
      </c>
      <c r="BB36" s="551"/>
      <c r="BC36" s="551"/>
      <c r="BD36" s="551"/>
      <c r="BE36" s="551"/>
      <c r="BF36" s="737" t="e">
        <f t="shared" si="23"/>
        <v>#DIV/0!</v>
      </c>
      <c r="BG36" s="737"/>
      <c r="BH36" s="737"/>
      <c r="BI36" s="547"/>
      <c r="BJ36" s="730">
        <f t="shared" si="24"/>
        <v>0</v>
      </c>
      <c r="BK36" s="544">
        <f t="shared" si="25"/>
        <v>0</v>
      </c>
      <c r="BL36" s="553" t="e">
        <f t="shared" si="26"/>
        <v>#DIV/0!</v>
      </c>
      <c r="BM36" s="544">
        <f t="shared" si="27"/>
        <v>0</v>
      </c>
      <c r="BN36" s="553" t="e">
        <f t="shared" si="10"/>
        <v>#DIV/0!</v>
      </c>
      <c r="BO36" s="548"/>
      <c r="BP36" s="552" t="s">
        <v>2351</v>
      </c>
      <c r="BQ36" s="552" t="s">
        <v>2332</v>
      </c>
      <c r="BR36" s="761" t="s">
        <v>2324</v>
      </c>
    </row>
    <row r="37" spans="1:70" ht="53.25" customHeight="1" x14ac:dyDescent="0.25">
      <c r="A37" s="539" t="s">
        <v>1957</v>
      </c>
      <c r="B37" s="539" t="s">
        <v>2044</v>
      </c>
      <c r="C37" s="540" t="s">
        <v>2094</v>
      </c>
      <c r="D37" s="540">
        <v>0</v>
      </c>
      <c r="E37" s="740">
        <v>0</v>
      </c>
      <c r="F37" s="740">
        <v>50</v>
      </c>
      <c r="G37" s="741">
        <v>50</v>
      </c>
      <c r="H37" s="541">
        <v>0</v>
      </c>
      <c r="I37" s="541">
        <v>0</v>
      </c>
      <c r="J37" s="541"/>
      <c r="K37" s="541"/>
      <c r="L37" s="541"/>
      <c r="M37" s="542"/>
      <c r="N37" s="542"/>
      <c r="O37" s="542"/>
      <c r="P37" s="546" t="s">
        <v>2142</v>
      </c>
      <c r="Q37" s="545"/>
      <c r="R37" s="545"/>
      <c r="S37" s="545"/>
      <c r="T37" s="546" t="s">
        <v>2142</v>
      </c>
      <c r="U37" s="629">
        <v>45657</v>
      </c>
      <c r="V37" s="544">
        <f t="shared" si="127"/>
        <v>100</v>
      </c>
      <c r="W37" s="544">
        <f t="shared" si="130"/>
        <v>0</v>
      </c>
      <c r="X37" s="549">
        <f t="shared" si="128"/>
        <v>0</v>
      </c>
      <c r="Y37" s="546" t="s">
        <v>2142</v>
      </c>
      <c r="Z37" s="546" t="s">
        <v>2142</v>
      </c>
      <c r="AA37" s="546"/>
      <c r="AB37" s="547"/>
      <c r="AC37" s="547"/>
      <c r="AD37" s="668">
        <f>+'Anexo 5.2 A'!BG33</f>
        <v>0</v>
      </c>
      <c r="AE37" s="730"/>
      <c r="AF37" s="730"/>
      <c r="AG37" s="730"/>
      <c r="AH37" s="675">
        <f>+'Anexo 5.2 A'!BH33</f>
        <v>0</v>
      </c>
      <c r="AI37" s="728"/>
      <c r="AJ37" s="743"/>
      <c r="AK37" s="743"/>
      <c r="AL37" s="549" t="e">
        <f t="shared" si="12"/>
        <v>#DIV/0!</v>
      </c>
      <c r="AM37" s="549" t="e">
        <f t="shared" si="131"/>
        <v>#DIV/0!</v>
      </c>
      <c r="AN37" s="549" t="e">
        <f t="shared" si="132"/>
        <v>#DIV/0!</v>
      </c>
      <c r="AO37" s="549" t="e">
        <f t="shared" si="133"/>
        <v>#DIV/0!</v>
      </c>
      <c r="AP37" s="675">
        <f>+'Anexo 5.2 A'!BJ33</f>
        <v>0</v>
      </c>
      <c r="AQ37" s="675">
        <f>+'Anexo 5.2 A'!BK33</f>
        <v>0</v>
      </c>
      <c r="AR37" s="675">
        <f>+'Anexo 5.2 A'!BL33</f>
        <v>0</v>
      </c>
      <c r="AS37" s="675">
        <f>+'Anexo 5.2 A'!BM33</f>
        <v>0</v>
      </c>
      <c r="AT37" s="549" t="e">
        <f t="shared" si="134"/>
        <v>#DIV/0!</v>
      </c>
      <c r="AU37" s="549" t="e">
        <f t="shared" si="135"/>
        <v>#DIV/0!</v>
      </c>
      <c r="AV37" s="549" t="e">
        <f t="shared" si="136"/>
        <v>#DIV/0!</v>
      </c>
      <c r="AW37" s="549" t="e">
        <f t="shared" si="137"/>
        <v>#DIV/0!</v>
      </c>
      <c r="AX37" s="676">
        <f t="shared" si="138"/>
        <v>0</v>
      </c>
      <c r="AY37" s="676">
        <f t="shared" si="129"/>
        <v>0</v>
      </c>
      <c r="AZ37" s="676">
        <f t="shared" si="129"/>
        <v>0</v>
      </c>
      <c r="BA37" s="676">
        <f t="shared" si="129"/>
        <v>0</v>
      </c>
      <c r="BB37" s="551"/>
      <c r="BC37" s="551"/>
      <c r="BD37" s="551"/>
      <c r="BE37" s="551"/>
      <c r="BF37" s="737" t="e">
        <f t="shared" si="23"/>
        <v>#DIV/0!</v>
      </c>
      <c r="BG37" s="737"/>
      <c r="BH37" s="737"/>
      <c r="BI37" s="547"/>
      <c r="BJ37" s="730">
        <f t="shared" si="24"/>
        <v>0</v>
      </c>
      <c r="BK37" s="544">
        <f t="shared" si="25"/>
        <v>0</v>
      </c>
      <c r="BL37" s="553" t="e">
        <f t="shared" si="26"/>
        <v>#DIV/0!</v>
      </c>
      <c r="BM37" s="544">
        <f t="shared" si="27"/>
        <v>0</v>
      </c>
      <c r="BN37" s="553" t="e">
        <f t="shared" si="10"/>
        <v>#DIV/0!</v>
      </c>
      <c r="BO37" s="548"/>
      <c r="BP37" s="552" t="s">
        <v>2351</v>
      </c>
      <c r="BQ37" s="552" t="s">
        <v>2332</v>
      </c>
      <c r="BR37" s="761" t="s">
        <v>2324</v>
      </c>
    </row>
    <row r="38" spans="1:70" ht="53.25" customHeight="1" x14ac:dyDescent="0.25">
      <c r="A38" s="539" t="s">
        <v>1958</v>
      </c>
      <c r="B38" s="539" t="s">
        <v>2045</v>
      </c>
      <c r="C38" s="540" t="s">
        <v>2094</v>
      </c>
      <c r="D38" s="723">
        <v>100</v>
      </c>
      <c r="E38" s="724">
        <v>100</v>
      </c>
      <c r="F38" s="724">
        <v>100</v>
      </c>
      <c r="G38" s="749">
        <v>100</v>
      </c>
      <c r="H38" s="723">
        <v>100</v>
      </c>
      <c r="I38" s="541">
        <v>0</v>
      </c>
      <c r="J38" s="541"/>
      <c r="K38" s="541"/>
      <c r="L38" s="541"/>
      <c r="M38" s="542"/>
      <c r="N38" s="542"/>
      <c r="O38" s="542"/>
      <c r="P38" s="545">
        <f t="shared" si="126"/>
        <v>1</v>
      </c>
      <c r="Q38" s="545"/>
      <c r="R38" s="545"/>
      <c r="S38" s="545"/>
      <c r="T38" s="919" t="s">
        <v>2101</v>
      </c>
      <c r="U38" s="629">
        <v>45657</v>
      </c>
      <c r="V38" s="544">
        <f t="shared" si="127"/>
        <v>400</v>
      </c>
      <c r="W38" s="544">
        <f t="shared" si="130"/>
        <v>100</v>
      </c>
      <c r="X38" s="549">
        <f t="shared" si="128"/>
        <v>0.25</v>
      </c>
      <c r="Y38" s="546">
        <v>0.1111111111111111</v>
      </c>
      <c r="Z38" s="546">
        <v>0.1111111111111111</v>
      </c>
      <c r="AA38" s="546"/>
      <c r="AB38" s="547"/>
      <c r="AC38" s="547"/>
      <c r="AD38" s="668">
        <f>+'Anexo 5.2 A'!BG34</f>
        <v>389059134.63999999</v>
      </c>
      <c r="AE38" s="730"/>
      <c r="AF38" s="730"/>
      <c r="AG38" s="730"/>
      <c r="AH38" s="675">
        <f>+'Anexo 5.2 A'!BH34</f>
        <v>277794872.60444444</v>
      </c>
      <c r="AI38" s="728"/>
      <c r="AJ38" s="743"/>
      <c r="AK38" s="743"/>
      <c r="AL38" s="549">
        <f t="shared" si="12"/>
        <v>0.71401709372918487</v>
      </c>
      <c r="AM38" s="549" t="e">
        <f t="shared" si="131"/>
        <v>#DIV/0!</v>
      </c>
      <c r="AN38" s="549" t="e">
        <f t="shared" si="132"/>
        <v>#DIV/0!</v>
      </c>
      <c r="AO38" s="549" t="e">
        <f t="shared" si="133"/>
        <v>#DIV/0!</v>
      </c>
      <c r="AP38" s="675">
        <f>+'Anexo 5.2 A'!BJ34</f>
        <v>247576948.28444439</v>
      </c>
      <c r="AQ38" s="675">
        <f>+'Anexo 5.2 A'!BK34</f>
        <v>0</v>
      </c>
      <c r="AR38" s="675">
        <f>+'Anexo 5.2 A'!BL34</f>
        <v>0</v>
      </c>
      <c r="AS38" s="675">
        <f>+'Anexo 5.2 A'!BM34</f>
        <v>0</v>
      </c>
      <c r="AT38" s="549">
        <f t="shared" si="134"/>
        <v>0.63634786139523403</v>
      </c>
      <c r="AU38" s="549" t="e">
        <f t="shared" si="135"/>
        <v>#DIV/0!</v>
      </c>
      <c r="AV38" s="549" t="e">
        <f t="shared" si="136"/>
        <v>#DIV/0!</v>
      </c>
      <c r="AW38" s="549" t="e">
        <f t="shared" si="137"/>
        <v>#DIV/0!</v>
      </c>
      <c r="AX38" s="676">
        <f t="shared" si="138"/>
        <v>30217924.320000052</v>
      </c>
      <c r="AY38" s="676">
        <f t="shared" si="129"/>
        <v>0</v>
      </c>
      <c r="AZ38" s="676">
        <f t="shared" si="129"/>
        <v>0</v>
      </c>
      <c r="BA38" s="676">
        <f t="shared" si="129"/>
        <v>0</v>
      </c>
      <c r="BB38" s="551"/>
      <c r="BC38" s="551"/>
      <c r="BD38" s="551"/>
      <c r="BE38" s="551"/>
      <c r="BF38" s="737">
        <f t="shared" si="23"/>
        <v>0</v>
      </c>
      <c r="BG38" s="737"/>
      <c r="BH38" s="737"/>
      <c r="BI38" s="547"/>
      <c r="BJ38" s="730">
        <f t="shared" si="24"/>
        <v>389059134.63999999</v>
      </c>
      <c r="BK38" s="544">
        <f t="shared" si="25"/>
        <v>277794872.60444444</v>
      </c>
      <c r="BL38" s="553">
        <f t="shared" si="26"/>
        <v>0.71401709372918487</v>
      </c>
      <c r="BM38" s="544">
        <f t="shared" si="27"/>
        <v>247576948.28444439</v>
      </c>
      <c r="BN38" s="553">
        <f t="shared" si="10"/>
        <v>0.63634786139523403</v>
      </c>
      <c r="BO38" s="548"/>
      <c r="BP38" s="552" t="s">
        <v>2351</v>
      </c>
      <c r="BQ38" s="552" t="s">
        <v>2333</v>
      </c>
      <c r="BR38" s="761" t="s">
        <v>2324</v>
      </c>
    </row>
    <row r="39" spans="1:70" ht="53.25" customHeight="1" x14ac:dyDescent="0.25">
      <c r="A39" s="539" t="s">
        <v>1959</v>
      </c>
      <c r="B39" s="539" t="s">
        <v>2046</v>
      </c>
      <c r="C39" s="540" t="s">
        <v>2094</v>
      </c>
      <c r="D39" s="723">
        <v>100</v>
      </c>
      <c r="E39" s="724">
        <v>100</v>
      </c>
      <c r="F39" s="724">
        <v>100</v>
      </c>
      <c r="G39" s="749">
        <v>100</v>
      </c>
      <c r="H39" s="723">
        <v>100</v>
      </c>
      <c r="I39" s="541">
        <v>0</v>
      </c>
      <c r="J39" s="541"/>
      <c r="K39" s="541"/>
      <c r="L39" s="541"/>
      <c r="M39" s="542"/>
      <c r="N39" s="542"/>
      <c r="O39" s="542"/>
      <c r="P39" s="545">
        <f t="shared" si="126"/>
        <v>1</v>
      </c>
      <c r="Q39" s="545"/>
      <c r="R39" s="545"/>
      <c r="S39" s="545"/>
      <c r="T39" s="920"/>
      <c r="U39" s="629">
        <v>45657</v>
      </c>
      <c r="V39" s="544">
        <f t="shared" si="127"/>
        <v>400</v>
      </c>
      <c r="W39" s="544">
        <f t="shared" si="130"/>
        <v>100</v>
      </c>
      <c r="X39" s="549">
        <f t="shared" si="128"/>
        <v>0.25</v>
      </c>
      <c r="Y39" s="546">
        <v>0.1111111111111111</v>
      </c>
      <c r="Z39" s="546">
        <v>0.1111111111111111</v>
      </c>
      <c r="AA39" s="546"/>
      <c r="AB39" s="547"/>
      <c r="AC39" s="547"/>
      <c r="AD39" s="668">
        <f>+'Anexo 5.2 A'!BG35</f>
        <v>389059134.63999999</v>
      </c>
      <c r="AE39" s="730"/>
      <c r="AF39" s="730"/>
      <c r="AG39" s="730"/>
      <c r="AH39" s="675">
        <f>+'Anexo 5.2 A'!BH35</f>
        <v>277794872.60444444</v>
      </c>
      <c r="AI39" s="728"/>
      <c r="AJ39" s="743"/>
      <c r="AK39" s="743"/>
      <c r="AL39" s="549">
        <f t="shared" si="12"/>
        <v>0.71401709372918487</v>
      </c>
      <c r="AM39" s="549" t="e">
        <f t="shared" si="131"/>
        <v>#DIV/0!</v>
      </c>
      <c r="AN39" s="549" t="e">
        <f t="shared" si="132"/>
        <v>#DIV/0!</v>
      </c>
      <c r="AO39" s="549" t="e">
        <f t="shared" si="133"/>
        <v>#DIV/0!</v>
      </c>
      <c r="AP39" s="675">
        <f>+'Anexo 5.2 A'!BJ35</f>
        <v>247576948.28444439</v>
      </c>
      <c r="AQ39" s="675">
        <f>+'Anexo 5.2 A'!BK35</f>
        <v>0</v>
      </c>
      <c r="AR39" s="675">
        <f>+'Anexo 5.2 A'!BL35</f>
        <v>0</v>
      </c>
      <c r="AS39" s="675">
        <f>+'Anexo 5.2 A'!BM35</f>
        <v>0</v>
      </c>
      <c r="AT39" s="549">
        <f t="shared" si="134"/>
        <v>0.63634786139523403</v>
      </c>
      <c r="AU39" s="549" t="e">
        <f t="shared" si="135"/>
        <v>#DIV/0!</v>
      </c>
      <c r="AV39" s="549" t="e">
        <f t="shared" si="136"/>
        <v>#DIV/0!</v>
      </c>
      <c r="AW39" s="549" t="e">
        <f t="shared" si="137"/>
        <v>#DIV/0!</v>
      </c>
      <c r="AX39" s="676">
        <f t="shared" si="138"/>
        <v>30217924.320000052</v>
      </c>
      <c r="AY39" s="676">
        <f t="shared" si="129"/>
        <v>0</v>
      </c>
      <c r="AZ39" s="676">
        <f t="shared" si="129"/>
        <v>0</v>
      </c>
      <c r="BA39" s="676">
        <f t="shared" si="129"/>
        <v>0</v>
      </c>
      <c r="BB39" s="551"/>
      <c r="BC39" s="551"/>
      <c r="BD39" s="551"/>
      <c r="BE39" s="551"/>
      <c r="BF39" s="737">
        <f t="shared" si="23"/>
        <v>0</v>
      </c>
      <c r="BG39" s="737"/>
      <c r="BH39" s="737"/>
      <c r="BI39" s="547"/>
      <c r="BJ39" s="730">
        <f t="shared" si="24"/>
        <v>389059134.63999999</v>
      </c>
      <c r="BK39" s="544">
        <f t="shared" si="25"/>
        <v>277794872.60444444</v>
      </c>
      <c r="BL39" s="553">
        <f t="shared" si="26"/>
        <v>0.71401709372918487</v>
      </c>
      <c r="BM39" s="544">
        <f t="shared" si="27"/>
        <v>247576948.28444439</v>
      </c>
      <c r="BN39" s="553">
        <f t="shared" si="10"/>
        <v>0.63634786139523403</v>
      </c>
      <c r="BO39" s="548"/>
      <c r="BP39" s="552" t="s">
        <v>2351</v>
      </c>
      <c r="BQ39" s="552" t="s">
        <v>2334</v>
      </c>
      <c r="BR39" s="761" t="s">
        <v>2324</v>
      </c>
    </row>
    <row r="40" spans="1:70" ht="53.25" customHeight="1" x14ac:dyDescent="0.25">
      <c r="A40" s="539" t="s">
        <v>1960</v>
      </c>
      <c r="B40" s="539" t="s">
        <v>2047</v>
      </c>
      <c r="C40" s="540" t="s">
        <v>2094</v>
      </c>
      <c r="D40" s="723">
        <v>100</v>
      </c>
      <c r="E40" s="724">
        <v>100</v>
      </c>
      <c r="F40" s="724">
        <v>100</v>
      </c>
      <c r="G40" s="749">
        <v>100</v>
      </c>
      <c r="H40" s="723">
        <v>100</v>
      </c>
      <c r="I40" s="541">
        <v>0</v>
      </c>
      <c r="J40" s="541"/>
      <c r="K40" s="541"/>
      <c r="L40" s="541"/>
      <c r="M40" s="542"/>
      <c r="N40" s="542"/>
      <c r="O40" s="542"/>
      <c r="P40" s="545">
        <f t="shared" si="126"/>
        <v>1</v>
      </c>
      <c r="Q40" s="545"/>
      <c r="R40" s="545"/>
      <c r="S40" s="545"/>
      <c r="T40" s="552" t="s">
        <v>2102</v>
      </c>
      <c r="U40" s="629">
        <v>45657</v>
      </c>
      <c r="V40" s="544">
        <f t="shared" si="127"/>
        <v>400</v>
      </c>
      <c r="W40" s="544">
        <f t="shared" si="130"/>
        <v>100</v>
      </c>
      <c r="X40" s="549">
        <f t="shared" si="128"/>
        <v>0.25</v>
      </c>
      <c r="Y40" s="546">
        <v>0.1111111111111111</v>
      </c>
      <c r="Z40" s="546">
        <v>0.1111111111111111</v>
      </c>
      <c r="AA40" s="546"/>
      <c r="AB40" s="547"/>
      <c r="AC40" s="547"/>
      <c r="AD40" s="668">
        <f>+'Anexo 5.2 A'!BG36</f>
        <v>389059134.63999999</v>
      </c>
      <c r="AE40" s="730"/>
      <c r="AF40" s="730"/>
      <c r="AG40" s="730"/>
      <c r="AH40" s="675">
        <f>+'Anexo 5.2 A'!BH36</f>
        <v>277794872.60444444</v>
      </c>
      <c r="AI40" s="728"/>
      <c r="AJ40" s="743"/>
      <c r="AK40" s="743"/>
      <c r="AL40" s="549">
        <f t="shared" si="12"/>
        <v>0.71401709372918487</v>
      </c>
      <c r="AM40" s="549" t="e">
        <f t="shared" si="131"/>
        <v>#DIV/0!</v>
      </c>
      <c r="AN40" s="549" t="e">
        <f t="shared" si="132"/>
        <v>#DIV/0!</v>
      </c>
      <c r="AO40" s="549" t="e">
        <f t="shared" si="133"/>
        <v>#DIV/0!</v>
      </c>
      <c r="AP40" s="675">
        <f>+'Anexo 5.2 A'!BJ36</f>
        <v>247576948.28444439</v>
      </c>
      <c r="AQ40" s="675">
        <f>+'Anexo 5.2 A'!BK36</f>
        <v>0</v>
      </c>
      <c r="AR40" s="675">
        <f>+'Anexo 5.2 A'!BL36</f>
        <v>0</v>
      </c>
      <c r="AS40" s="675">
        <f>+'Anexo 5.2 A'!BM36</f>
        <v>0</v>
      </c>
      <c r="AT40" s="549">
        <f t="shared" si="134"/>
        <v>0.63634786139523403</v>
      </c>
      <c r="AU40" s="549" t="e">
        <f t="shared" si="135"/>
        <v>#DIV/0!</v>
      </c>
      <c r="AV40" s="549" t="e">
        <f t="shared" si="136"/>
        <v>#DIV/0!</v>
      </c>
      <c r="AW40" s="549" t="e">
        <f t="shared" si="137"/>
        <v>#DIV/0!</v>
      </c>
      <c r="AX40" s="676">
        <f t="shared" si="138"/>
        <v>30217924.320000052</v>
      </c>
      <c r="AY40" s="676">
        <f t="shared" si="129"/>
        <v>0</v>
      </c>
      <c r="AZ40" s="676">
        <f t="shared" si="129"/>
        <v>0</v>
      </c>
      <c r="BA40" s="676">
        <f t="shared" si="129"/>
        <v>0</v>
      </c>
      <c r="BB40" s="551"/>
      <c r="BC40" s="551"/>
      <c r="BD40" s="551"/>
      <c r="BE40" s="551"/>
      <c r="BF40" s="737">
        <f t="shared" si="23"/>
        <v>0</v>
      </c>
      <c r="BG40" s="737"/>
      <c r="BH40" s="737"/>
      <c r="BI40" s="547"/>
      <c r="BJ40" s="730">
        <f t="shared" si="24"/>
        <v>389059134.63999999</v>
      </c>
      <c r="BK40" s="544">
        <f t="shared" si="25"/>
        <v>277794872.60444444</v>
      </c>
      <c r="BL40" s="553">
        <f t="shared" si="26"/>
        <v>0.71401709372918487</v>
      </c>
      <c r="BM40" s="544">
        <f t="shared" si="27"/>
        <v>247576948.28444439</v>
      </c>
      <c r="BN40" s="553">
        <f t="shared" si="10"/>
        <v>0.63634786139523403</v>
      </c>
      <c r="BO40" s="548"/>
      <c r="BP40" s="552" t="s">
        <v>2351</v>
      </c>
      <c r="BQ40" s="552" t="s">
        <v>2334</v>
      </c>
      <c r="BR40" s="761" t="s">
        <v>2324</v>
      </c>
    </row>
    <row r="41" spans="1:70" ht="53.25" customHeight="1" x14ac:dyDescent="0.25">
      <c r="A41" s="539" t="s">
        <v>1961</v>
      </c>
      <c r="B41" s="539" t="s">
        <v>2048</v>
      </c>
      <c r="C41" s="540" t="s">
        <v>2093</v>
      </c>
      <c r="D41" s="540">
        <v>1</v>
      </c>
      <c r="E41" s="740">
        <v>1</v>
      </c>
      <c r="F41" s="740">
        <v>1</v>
      </c>
      <c r="G41" s="741">
        <v>1</v>
      </c>
      <c r="H41" s="541">
        <v>1</v>
      </c>
      <c r="I41" s="541">
        <v>0</v>
      </c>
      <c r="J41" s="541"/>
      <c r="K41" s="541"/>
      <c r="L41" s="541"/>
      <c r="M41" s="542"/>
      <c r="N41" s="542"/>
      <c r="O41" s="542"/>
      <c r="P41" s="545">
        <f t="shared" si="126"/>
        <v>1</v>
      </c>
      <c r="Q41" s="545"/>
      <c r="R41" s="545"/>
      <c r="S41" s="545"/>
      <c r="T41" s="552" t="s">
        <v>2103</v>
      </c>
      <c r="U41" s="629">
        <v>45657</v>
      </c>
      <c r="V41" s="544">
        <f t="shared" si="127"/>
        <v>4</v>
      </c>
      <c r="W41" s="544">
        <f t="shared" si="130"/>
        <v>1</v>
      </c>
      <c r="X41" s="549">
        <f t="shared" si="128"/>
        <v>0.25</v>
      </c>
      <c r="Y41" s="546">
        <v>0.1111111111111111</v>
      </c>
      <c r="Z41" s="546">
        <v>0.1111111111111111</v>
      </c>
      <c r="AA41" s="546"/>
      <c r="AB41" s="547"/>
      <c r="AC41" s="547"/>
      <c r="AD41" s="668">
        <f>+'Anexo 5.2 A'!BG37</f>
        <v>389059134.63999999</v>
      </c>
      <c r="AE41" s="730"/>
      <c r="AF41" s="730"/>
      <c r="AG41" s="730"/>
      <c r="AH41" s="675">
        <f>+'Anexo 5.2 A'!BH37</f>
        <v>277794872.60444444</v>
      </c>
      <c r="AI41" s="728"/>
      <c r="AJ41" s="743"/>
      <c r="AK41" s="743"/>
      <c r="AL41" s="549">
        <f t="shared" si="12"/>
        <v>0.71401709372918487</v>
      </c>
      <c r="AM41" s="549" t="e">
        <f t="shared" ref="AM41:AM42" si="139">+AI41/AE41</f>
        <v>#DIV/0!</v>
      </c>
      <c r="AN41" s="549" t="e">
        <f t="shared" ref="AN41:AN42" si="140">+AJ41/AF41</f>
        <v>#DIV/0!</v>
      </c>
      <c r="AO41" s="549" t="e">
        <f t="shared" ref="AO41:AO42" si="141">+AK41/AG41</f>
        <v>#DIV/0!</v>
      </c>
      <c r="AP41" s="675">
        <f>+'Anexo 5.2 A'!BJ37</f>
        <v>247576948.28444439</v>
      </c>
      <c r="AQ41" s="675">
        <f>+'Anexo 5.2 A'!BK37</f>
        <v>0</v>
      </c>
      <c r="AR41" s="675">
        <f>+'Anexo 5.2 A'!BL37</f>
        <v>0</v>
      </c>
      <c r="AS41" s="675">
        <f>+'Anexo 5.2 A'!BM37</f>
        <v>0</v>
      </c>
      <c r="AT41" s="549">
        <f t="shared" ref="AT41:AT42" si="142">+AP41/AD41</f>
        <v>0.63634786139523403</v>
      </c>
      <c r="AU41" s="549" t="e">
        <f t="shared" ref="AU41:AU42" si="143">+AQ41/AE41</f>
        <v>#DIV/0!</v>
      </c>
      <c r="AV41" s="549" t="e">
        <f t="shared" ref="AV41:AV42" si="144">+AR41/AF41</f>
        <v>#DIV/0!</v>
      </c>
      <c r="AW41" s="549" t="e">
        <f t="shared" ref="AW41:AW42" si="145">+AS41/AG41</f>
        <v>#DIV/0!</v>
      </c>
      <c r="AX41" s="676">
        <f t="shared" si="138"/>
        <v>30217924.320000052</v>
      </c>
      <c r="AY41" s="676">
        <f t="shared" si="129"/>
        <v>0</v>
      </c>
      <c r="AZ41" s="676">
        <f t="shared" si="129"/>
        <v>0</v>
      </c>
      <c r="BA41" s="676">
        <f t="shared" si="129"/>
        <v>0</v>
      </c>
      <c r="BB41" s="551"/>
      <c r="BC41" s="551"/>
      <c r="BD41" s="551"/>
      <c r="BE41" s="551"/>
      <c r="BF41" s="737">
        <f t="shared" si="23"/>
        <v>0</v>
      </c>
      <c r="BG41" s="737"/>
      <c r="BH41" s="737"/>
      <c r="BI41" s="547"/>
      <c r="BJ41" s="730">
        <f t="shared" si="24"/>
        <v>389059134.63999999</v>
      </c>
      <c r="BK41" s="544">
        <f t="shared" si="25"/>
        <v>277794872.60444444</v>
      </c>
      <c r="BL41" s="553">
        <f t="shared" si="26"/>
        <v>0.71401709372918487</v>
      </c>
      <c r="BM41" s="544">
        <f t="shared" si="27"/>
        <v>247576948.28444439</v>
      </c>
      <c r="BN41" s="553">
        <f t="shared" si="10"/>
        <v>0.63634786139523403</v>
      </c>
      <c r="BO41" s="548"/>
      <c r="BP41" s="552" t="s">
        <v>2351</v>
      </c>
      <c r="BQ41" s="552" t="s">
        <v>5</v>
      </c>
      <c r="BR41" s="761" t="s">
        <v>2324</v>
      </c>
    </row>
    <row r="42" spans="1:70" ht="53.25" customHeight="1" x14ac:dyDescent="0.25">
      <c r="A42" s="539" t="s">
        <v>1962</v>
      </c>
      <c r="B42" s="539" t="s">
        <v>26</v>
      </c>
      <c r="C42" s="540" t="s">
        <v>2094</v>
      </c>
      <c r="D42" s="723">
        <v>100</v>
      </c>
      <c r="E42" s="724">
        <v>100</v>
      </c>
      <c r="F42" s="724">
        <v>100</v>
      </c>
      <c r="G42" s="749">
        <v>100</v>
      </c>
      <c r="H42" s="723">
        <v>100</v>
      </c>
      <c r="I42" s="541">
        <v>0</v>
      </c>
      <c r="J42" s="541"/>
      <c r="K42" s="541"/>
      <c r="L42" s="541"/>
      <c r="M42" s="542"/>
      <c r="N42" s="542"/>
      <c r="O42" s="542"/>
      <c r="P42" s="545">
        <f t="shared" si="126"/>
        <v>1</v>
      </c>
      <c r="Q42" s="545"/>
      <c r="R42" s="545"/>
      <c r="S42" s="545"/>
      <c r="T42" s="552" t="s">
        <v>2104</v>
      </c>
      <c r="U42" s="629">
        <v>45657</v>
      </c>
      <c r="V42" s="544">
        <f t="shared" si="127"/>
        <v>400</v>
      </c>
      <c r="W42" s="544">
        <f t="shared" si="130"/>
        <v>100</v>
      </c>
      <c r="X42" s="549">
        <f t="shared" si="128"/>
        <v>0.25</v>
      </c>
      <c r="Y42" s="546">
        <v>0.1111111111111111</v>
      </c>
      <c r="Z42" s="546">
        <v>0.1111111111111111</v>
      </c>
      <c r="AA42" s="546"/>
      <c r="AB42" s="547"/>
      <c r="AC42" s="547"/>
      <c r="AD42" s="668">
        <f>+'Anexo 5.2 A'!BG38</f>
        <v>389059134.63999999</v>
      </c>
      <c r="AE42" s="730"/>
      <c r="AF42" s="730"/>
      <c r="AG42" s="730"/>
      <c r="AH42" s="675">
        <f>+'Anexo 5.2 A'!BH38</f>
        <v>277794872.60444444</v>
      </c>
      <c r="AI42" s="728"/>
      <c r="AJ42" s="743"/>
      <c r="AK42" s="743"/>
      <c r="AL42" s="549">
        <f t="shared" ref="AL42" si="146">+AH42/AD42</f>
        <v>0.71401709372918487</v>
      </c>
      <c r="AM42" s="549" t="e">
        <f t="shared" si="139"/>
        <v>#DIV/0!</v>
      </c>
      <c r="AN42" s="549" t="e">
        <f t="shared" si="140"/>
        <v>#DIV/0!</v>
      </c>
      <c r="AO42" s="549" t="e">
        <f t="shared" si="141"/>
        <v>#DIV/0!</v>
      </c>
      <c r="AP42" s="675">
        <f>+'Anexo 5.2 A'!BJ38</f>
        <v>247576948.28444439</v>
      </c>
      <c r="AQ42" s="675">
        <f>+'Anexo 5.2 A'!BK38</f>
        <v>0</v>
      </c>
      <c r="AR42" s="675">
        <f>+'Anexo 5.2 A'!BL38</f>
        <v>0</v>
      </c>
      <c r="AS42" s="675">
        <f>+'Anexo 5.2 A'!BM38</f>
        <v>0</v>
      </c>
      <c r="AT42" s="549">
        <f t="shared" si="142"/>
        <v>0.63634786139523403</v>
      </c>
      <c r="AU42" s="549" t="e">
        <f t="shared" si="143"/>
        <v>#DIV/0!</v>
      </c>
      <c r="AV42" s="549" t="e">
        <f t="shared" si="144"/>
        <v>#DIV/0!</v>
      </c>
      <c r="AW42" s="549" t="e">
        <f t="shared" si="145"/>
        <v>#DIV/0!</v>
      </c>
      <c r="AX42" s="676">
        <f t="shared" si="138"/>
        <v>30217924.320000052</v>
      </c>
      <c r="AY42" s="676">
        <f t="shared" si="129"/>
        <v>0</v>
      </c>
      <c r="AZ42" s="676">
        <f t="shared" si="129"/>
        <v>0</v>
      </c>
      <c r="BA42" s="676">
        <f t="shared" si="129"/>
        <v>0</v>
      </c>
      <c r="BB42" s="551"/>
      <c r="BC42" s="551"/>
      <c r="BD42" s="551"/>
      <c r="BE42" s="551"/>
      <c r="BF42" s="737">
        <f t="shared" si="23"/>
        <v>0</v>
      </c>
      <c r="BG42" s="737"/>
      <c r="BH42" s="737"/>
      <c r="BI42" s="547"/>
      <c r="BJ42" s="730">
        <f t="shared" si="24"/>
        <v>389059134.63999999</v>
      </c>
      <c r="BK42" s="544">
        <f t="shared" si="25"/>
        <v>277794872.60444444</v>
      </c>
      <c r="BL42" s="553">
        <f t="shared" si="26"/>
        <v>0.71401709372918487</v>
      </c>
      <c r="BM42" s="544">
        <f t="shared" si="27"/>
        <v>247576948.28444439</v>
      </c>
      <c r="BN42" s="553">
        <f t="shared" si="10"/>
        <v>0.63634786139523403</v>
      </c>
      <c r="BO42" s="548"/>
      <c r="BP42" s="552" t="s">
        <v>2351</v>
      </c>
      <c r="BQ42" s="552" t="s">
        <v>2335</v>
      </c>
      <c r="BR42" s="761" t="s">
        <v>2324</v>
      </c>
    </row>
    <row r="43" spans="1:70" ht="53.25" customHeight="1" x14ac:dyDescent="0.25">
      <c r="A43" s="533" t="s">
        <v>1963</v>
      </c>
      <c r="B43" s="533"/>
      <c r="C43" s="534"/>
      <c r="D43" s="534"/>
      <c r="E43" s="535"/>
      <c r="F43" s="535"/>
      <c r="G43" s="535"/>
      <c r="H43" s="535"/>
      <c r="I43" s="535"/>
      <c r="J43" s="535"/>
      <c r="K43" s="535"/>
      <c r="L43" s="535"/>
      <c r="M43" s="535"/>
      <c r="N43" s="535"/>
      <c r="O43" s="535"/>
      <c r="P43" s="536">
        <f>+SUMPRODUCT(P44:P44,Z44:Z44)</f>
        <v>1</v>
      </c>
      <c r="Q43" s="536" t="e">
        <f>+SUMPRODUCT(Q44:Q44,AA44:AA44)</f>
        <v>#VALUE!</v>
      </c>
      <c r="R43" s="536" t="e">
        <f>+SUMPRODUCT(R44:R44,AB44:AB44)</f>
        <v>#VALUE!</v>
      </c>
      <c r="S43" s="536" t="e">
        <f>+SUMPRODUCT(S44:S44,AC44:AC44)</f>
        <v>#VALUE!</v>
      </c>
      <c r="T43" s="660"/>
      <c r="U43" s="536"/>
      <c r="V43" s="536"/>
      <c r="W43" s="536"/>
      <c r="X43" s="719">
        <f>+SUMPRODUCT(X44,Y44)</f>
        <v>0.25</v>
      </c>
      <c r="Y43" s="536">
        <v>0.4</v>
      </c>
      <c r="Z43" s="536">
        <v>0.4</v>
      </c>
      <c r="AA43" s="536"/>
      <c r="AB43" s="536"/>
      <c r="AC43" s="536"/>
      <c r="AD43" s="667">
        <f t="shared" ref="AD43:AK43" si="147">SUM(AD44:AD44)</f>
        <v>83759830</v>
      </c>
      <c r="AE43" s="667">
        <f t="shared" si="147"/>
        <v>0</v>
      </c>
      <c r="AF43" s="667">
        <f t="shared" si="147"/>
        <v>0</v>
      </c>
      <c r="AG43" s="667">
        <f t="shared" si="147"/>
        <v>0</v>
      </c>
      <c r="AH43" s="667">
        <f t="shared" si="147"/>
        <v>83759830</v>
      </c>
      <c r="AI43" s="667">
        <f t="shared" si="147"/>
        <v>0</v>
      </c>
      <c r="AJ43" s="667">
        <f t="shared" si="147"/>
        <v>0</v>
      </c>
      <c r="AK43" s="667">
        <f t="shared" si="147"/>
        <v>0</v>
      </c>
      <c r="AL43" s="538">
        <f t="shared" si="12"/>
        <v>1</v>
      </c>
      <c r="AM43" s="538" t="e">
        <f t="shared" si="12"/>
        <v>#DIV/0!</v>
      </c>
      <c r="AN43" s="538" t="e">
        <f t="shared" si="12"/>
        <v>#DIV/0!</v>
      </c>
      <c r="AO43" s="538" t="e">
        <f t="shared" si="12"/>
        <v>#DIV/0!</v>
      </c>
      <c r="AP43" s="667">
        <f t="shared" ref="AP43:AS43" si="148">SUM(AP44:AP44)</f>
        <v>81698542</v>
      </c>
      <c r="AQ43" s="667">
        <f t="shared" si="148"/>
        <v>0</v>
      </c>
      <c r="AR43" s="667">
        <f t="shared" si="148"/>
        <v>0</v>
      </c>
      <c r="AS43" s="667">
        <f t="shared" si="148"/>
        <v>0</v>
      </c>
      <c r="AT43" s="538">
        <f t="shared" si="17"/>
        <v>0.97539049446494819</v>
      </c>
      <c r="AU43" s="538" t="e">
        <f t="shared" si="17"/>
        <v>#DIV/0!</v>
      </c>
      <c r="AV43" s="538" t="e">
        <f t="shared" si="17"/>
        <v>#DIV/0!</v>
      </c>
      <c r="AW43" s="538" t="e">
        <f t="shared" si="17"/>
        <v>#DIV/0!</v>
      </c>
      <c r="AX43" s="667">
        <f t="shared" ref="AX43:BE43" si="149">SUM(AX44:AX44)</f>
        <v>2061288</v>
      </c>
      <c r="AY43" s="667">
        <f t="shared" si="149"/>
        <v>0</v>
      </c>
      <c r="AZ43" s="667">
        <f t="shared" si="149"/>
        <v>0</v>
      </c>
      <c r="BA43" s="667">
        <f t="shared" si="149"/>
        <v>0</v>
      </c>
      <c r="BB43" s="667">
        <f t="shared" si="149"/>
        <v>0</v>
      </c>
      <c r="BC43" s="667">
        <f t="shared" si="149"/>
        <v>0</v>
      </c>
      <c r="BD43" s="667">
        <f t="shared" si="149"/>
        <v>0</v>
      </c>
      <c r="BE43" s="667">
        <f t="shared" si="149"/>
        <v>0</v>
      </c>
      <c r="BF43" s="733">
        <f t="shared" si="23"/>
        <v>0</v>
      </c>
      <c r="BG43" s="733" t="e">
        <f t="shared" si="23"/>
        <v>#DIV/0!</v>
      </c>
      <c r="BH43" s="733" t="e">
        <f t="shared" si="23"/>
        <v>#DIV/0!</v>
      </c>
      <c r="BI43" s="536" t="e">
        <f t="shared" si="23"/>
        <v>#DIV/0!</v>
      </c>
      <c r="BJ43" s="537">
        <f t="shared" si="24"/>
        <v>83759830</v>
      </c>
      <c r="BK43" s="537">
        <f t="shared" si="25"/>
        <v>83759830</v>
      </c>
      <c r="BL43" s="536">
        <f t="shared" si="26"/>
        <v>1</v>
      </c>
      <c r="BM43" s="537">
        <f t="shared" si="27"/>
        <v>81698542</v>
      </c>
      <c r="BN43" s="536">
        <f t="shared" si="10"/>
        <v>0.97539049446494819</v>
      </c>
      <c r="BO43" s="534"/>
      <c r="BP43" s="534"/>
      <c r="BQ43" s="534"/>
      <c r="BR43" s="534"/>
    </row>
    <row r="44" spans="1:70" ht="53.25" customHeight="1" x14ac:dyDescent="0.25">
      <c r="A44" s="539" t="s">
        <v>1964</v>
      </c>
      <c r="B44" s="539" t="s">
        <v>2049</v>
      </c>
      <c r="C44" s="554" t="s">
        <v>2093</v>
      </c>
      <c r="D44" s="554">
        <v>1</v>
      </c>
      <c r="E44" s="567">
        <v>1</v>
      </c>
      <c r="F44" s="567">
        <v>1</v>
      </c>
      <c r="G44" s="568">
        <v>1</v>
      </c>
      <c r="H44" s="567">
        <v>1</v>
      </c>
      <c r="I44" s="541">
        <v>0</v>
      </c>
      <c r="J44" s="541"/>
      <c r="K44" s="541"/>
      <c r="L44" s="541"/>
      <c r="M44" s="542"/>
      <c r="N44" s="542"/>
      <c r="O44" s="542"/>
      <c r="P44" s="543">
        <f t="shared" ref="P44:S44" si="150">IF((H44+L44)/D44&gt;=100%,100%,(H44+L44)/D44)</f>
        <v>1</v>
      </c>
      <c r="Q44" s="543">
        <f t="shared" si="150"/>
        <v>0</v>
      </c>
      <c r="R44" s="543">
        <f t="shared" si="150"/>
        <v>0</v>
      </c>
      <c r="S44" s="543">
        <f t="shared" si="150"/>
        <v>0</v>
      </c>
      <c r="T44" s="635" t="s">
        <v>2105</v>
      </c>
      <c r="U44" s="629">
        <v>45657</v>
      </c>
      <c r="V44" s="544">
        <f t="shared" si="127"/>
        <v>4</v>
      </c>
      <c r="W44" s="544">
        <f>SUM(H44:N44)</f>
        <v>1</v>
      </c>
      <c r="X44" s="549">
        <f t="shared" ref="X44" si="151">IF(W44/V44&gt;=100%,100%,W44/V44)</f>
        <v>0.25</v>
      </c>
      <c r="Y44" s="546">
        <v>1</v>
      </c>
      <c r="Z44" s="546">
        <v>1</v>
      </c>
      <c r="AA44" s="546"/>
      <c r="AB44" s="547"/>
      <c r="AC44" s="547"/>
      <c r="AD44" s="668">
        <f>+'Anexo 5.2 A'!BG40</f>
        <v>83759830</v>
      </c>
      <c r="AE44" s="730"/>
      <c r="AF44" s="730"/>
      <c r="AG44" s="730"/>
      <c r="AH44" s="675">
        <f>+'Anexo 5.2 A'!BH40</f>
        <v>83759830</v>
      </c>
      <c r="AI44" s="728"/>
      <c r="AJ44" s="727"/>
      <c r="AK44" s="727"/>
      <c r="AL44" s="549">
        <f t="shared" si="12"/>
        <v>1</v>
      </c>
      <c r="AM44" s="549" t="e">
        <f t="shared" si="12"/>
        <v>#DIV/0!</v>
      </c>
      <c r="AN44" s="549" t="e">
        <f t="shared" si="12"/>
        <v>#DIV/0!</v>
      </c>
      <c r="AO44" s="549" t="e">
        <f t="shared" si="12"/>
        <v>#DIV/0!</v>
      </c>
      <c r="AP44" s="675">
        <f>+'Anexo 5.2 A'!BJ40</f>
        <v>81698542</v>
      </c>
      <c r="AQ44" s="675">
        <f>+'Anexo 5.2 A'!BK40</f>
        <v>0</v>
      </c>
      <c r="AR44" s="675">
        <f>+'Anexo 5.2 A'!BL40</f>
        <v>0</v>
      </c>
      <c r="AS44" s="675">
        <f>+'Anexo 5.2 A'!BM40</f>
        <v>0</v>
      </c>
      <c r="AT44" s="549">
        <f t="shared" si="17"/>
        <v>0.97539049446494819</v>
      </c>
      <c r="AU44" s="549" t="e">
        <f t="shared" si="17"/>
        <v>#DIV/0!</v>
      </c>
      <c r="AV44" s="549" t="e">
        <f t="shared" si="17"/>
        <v>#DIV/0!</v>
      </c>
      <c r="AW44" s="549" t="e">
        <f t="shared" si="17"/>
        <v>#DIV/0!</v>
      </c>
      <c r="AX44" s="676">
        <f>+AH44-AP44</f>
        <v>2061288</v>
      </c>
      <c r="AY44" s="676">
        <f t="shared" ref="AY44:BA44" si="152">+AI44-AQ44</f>
        <v>0</v>
      </c>
      <c r="AZ44" s="676">
        <f t="shared" si="152"/>
        <v>0</v>
      </c>
      <c r="BA44" s="676">
        <f t="shared" si="152"/>
        <v>0</v>
      </c>
      <c r="BB44" s="551"/>
      <c r="BC44" s="551"/>
      <c r="BD44" s="551"/>
      <c r="BE44" s="551"/>
      <c r="BF44" s="737">
        <f t="shared" si="23"/>
        <v>0</v>
      </c>
      <c r="BG44" s="737" t="e">
        <f t="shared" si="23"/>
        <v>#DIV/0!</v>
      </c>
      <c r="BH44" s="737" t="e">
        <f t="shared" si="23"/>
        <v>#DIV/0!</v>
      </c>
      <c r="BI44" s="547" t="e">
        <f t="shared" si="23"/>
        <v>#DIV/0!</v>
      </c>
      <c r="BJ44" s="730">
        <f t="shared" si="24"/>
        <v>83759830</v>
      </c>
      <c r="BK44" s="544">
        <f t="shared" si="25"/>
        <v>83759830</v>
      </c>
      <c r="BL44" s="553">
        <f t="shared" si="26"/>
        <v>1</v>
      </c>
      <c r="BM44" s="544">
        <f t="shared" si="27"/>
        <v>81698542</v>
      </c>
      <c r="BN44" s="553">
        <f t="shared" si="10"/>
        <v>0.97539049446494819</v>
      </c>
      <c r="BO44" s="548"/>
      <c r="BP44" s="552" t="s">
        <v>2351</v>
      </c>
      <c r="BQ44" s="552" t="s">
        <v>2336</v>
      </c>
      <c r="BR44" s="569" t="s">
        <v>2324</v>
      </c>
    </row>
    <row r="45" spans="1:70" ht="53.25" customHeight="1" x14ac:dyDescent="0.25">
      <c r="A45" s="521" t="s">
        <v>1965</v>
      </c>
      <c r="B45" s="521"/>
      <c r="C45" s="531"/>
      <c r="D45" s="531"/>
      <c r="E45" s="524"/>
      <c r="F45" s="524"/>
      <c r="G45" s="524"/>
      <c r="H45" s="524"/>
      <c r="I45" s="524"/>
      <c r="J45" s="524"/>
      <c r="K45" s="524"/>
      <c r="L45" s="524"/>
      <c r="M45" s="524"/>
      <c r="N45" s="524"/>
      <c r="O45" s="524"/>
      <c r="P45" s="626">
        <f>+(P46*Z46)+(P51*Z51)</f>
        <v>1</v>
      </c>
      <c r="Q45" s="570" t="e">
        <f>+(Q46*AA46)+(#REF!*#REF!)+(#REF!*#REF!)</f>
        <v>#REF!</v>
      </c>
      <c r="R45" s="570" t="e">
        <f>+(R46*AB46)+(#REF!*#REF!)+(#REF!*#REF!)</f>
        <v>#REF!</v>
      </c>
      <c r="S45" s="570" t="e">
        <f>+(S46*AC46)+(#REF!*#REF!)+(#REF!*#REF!)</f>
        <v>#REF!</v>
      </c>
      <c r="T45" s="521"/>
      <c r="U45" s="528"/>
      <c r="V45" s="530"/>
      <c r="W45" s="530"/>
      <c r="X45" s="532">
        <f>+(X46*Y46)+(X51*Y51)</f>
        <v>0.25</v>
      </c>
      <c r="Y45" s="529">
        <v>0.5</v>
      </c>
      <c r="Z45" s="529">
        <v>0.5</v>
      </c>
      <c r="AA45" s="529"/>
      <c r="AB45" s="529"/>
      <c r="AC45" s="529"/>
      <c r="AD45" s="666">
        <f>+AD46+AD51</f>
        <v>16802413134.220001</v>
      </c>
      <c r="AE45" s="666">
        <f t="shared" ref="AE45:AG45" si="153">+AE46+AE51</f>
        <v>0</v>
      </c>
      <c r="AF45" s="666">
        <f t="shared" si="153"/>
        <v>0</v>
      </c>
      <c r="AG45" s="666">
        <f t="shared" si="153"/>
        <v>0</v>
      </c>
      <c r="AH45" s="666">
        <f>+AH46+AH51</f>
        <v>16768124738</v>
      </c>
      <c r="AI45" s="666">
        <f t="shared" ref="AI45:AK45" si="154">+AI46+AI51</f>
        <v>0</v>
      </c>
      <c r="AJ45" s="666">
        <f t="shared" si="154"/>
        <v>0</v>
      </c>
      <c r="AK45" s="666">
        <f t="shared" si="154"/>
        <v>0</v>
      </c>
      <c r="AL45" s="532">
        <f t="shared" si="12"/>
        <v>0.99795931715604769</v>
      </c>
      <c r="AM45" s="532" t="e">
        <f t="shared" si="12"/>
        <v>#DIV/0!</v>
      </c>
      <c r="AN45" s="532" t="e">
        <f t="shared" si="12"/>
        <v>#DIV/0!</v>
      </c>
      <c r="AO45" s="532" t="e">
        <f t="shared" si="12"/>
        <v>#DIV/0!</v>
      </c>
      <c r="AP45" s="666">
        <f t="shared" ref="AP45" si="155">+AP46+AP51</f>
        <v>9321319317.1999989</v>
      </c>
      <c r="AQ45" s="666">
        <f t="shared" ref="AQ45" si="156">+AQ46+AQ51</f>
        <v>0</v>
      </c>
      <c r="AR45" s="666">
        <f t="shared" ref="AR45" si="157">+AR46+AR51</f>
        <v>0</v>
      </c>
      <c r="AS45" s="666">
        <f t="shared" ref="AS45" si="158">+AS46+AS51</f>
        <v>0</v>
      </c>
      <c r="AT45" s="532">
        <f t="shared" si="17"/>
        <v>0.5547607503005676</v>
      </c>
      <c r="AU45" s="532" t="e">
        <f t="shared" si="17"/>
        <v>#DIV/0!</v>
      </c>
      <c r="AV45" s="532" t="e">
        <f t="shared" si="17"/>
        <v>#DIV/0!</v>
      </c>
      <c r="AW45" s="532" t="e">
        <f t="shared" si="17"/>
        <v>#DIV/0!</v>
      </c>
      <c r="AX45" s="666">
        <f>+AX46+AX51</f>
        <v>7446805420.8000002</v>
      </c>
      <c r="AY45" s="666">
        <f t="shared" ref="AY45:BA45" si="159">+AY46+AY51</f>
        <v>0</v>
      </c>
      <c r="AZ45" s="666">
        <f t="shared" si="159"/>
        <v>0</v>
      </c>
      <c r="BA45" s="666">
        <f t="shared" si="159"/>
        <v>0</v>
      </c>
      <c r="BB45" s="666">
        <f t="shared" ref="BB45" si="160">+BB46+BB51</f>
        <v>0</v>
      </c>
      <c r="BC45" s="666">
        <f t="shared" ref="BC45" si="161">+BC46+BC51</f>
        <v>0</v>
      </c>
      <c r="BD45" s="666">
        <f t="shared" ref="BD45" si="162">+BD46+BD51</f>
        <v>0</v>
      </c>
      <c r="BE45" s="666">
        <f t="shared" ref="BE45" si="163">+BE46+BE51</f>
        <v>0</v>
      </c>
      <c r="BF45" s="732">
        <f t="shared" si="23"/>
        <v>0</v>
      </c>
      <c r="BG45" s="732" t="e">
        <f t="shared" si="23"/>
        <v>#DIV/0!</v>
      </c>
      <c r="BH45" s="732" t="e">
        <f t="shared" si="23"/>
        <v>#DIV/0!</v>
      </c>
      <c r="BI45" s="529" t="e">
        <f t="shared" si="23"/>
        <v>#DIV/0!</v>
      </c>
      <c r="BJ45" s="530">
        <f t="shared" si="24"/>
        <v>16802413134.220001</v>
      </c>
      <c r="BK45" s="530">
        <f t="shared" si="25"/>
        <v>16768124738</v>
      </c>
      <c r="BL45" s="529">
        <f t="shared" si="26"/>
        <v>0.99795931715604769</v>
      </c>
      <c r="BM45" s="530">
        <f t="shared" si="27"/>
        <v>9321319317.1999989</v>
      </c>
      <c r="BN45" s="529">
        <f t="shared" si="10"/>
        <v>0.5547607503005676</v>
      </c>
      <c r="BO45" s="531"/>
      <c r="BP45" s="531"/>
      <c r="BQ45" s="531"/>
      <c r="BR45" s="531"/>
    </row>
    <row r="46" spans="1:70" ht="53.25" customHeight="1" x14ac:dyDescent="0.25">
      <c r="A46" s="533" t="s">
        <v>1966</v>
      </c>
      <c r="B46" s="533"/>
      <c r="C46" s="534"/>
      <c r="D46" s="534"/>
      <c r="E46" s="535"/>
      <c r="F46" s="535"/>
      <c r="G46" s="535"/>
      <c r="H46" s="535"/>
      <c r="I46" s="535"/>
      <c r="J46" s="535"/>
      <c r="K46" s="535"/>
      <c r="L46" s="535"/>
      <c r="M46" s="535"/>
      <c r="N46" s="535"/>
      <c r="O46" s="535"/>
      <c r="P46" s="536">
        <f>+SUMPRODUCT(P47:P50,Z47:Z50)</f>
        <v>1</v>
      </c>
      <c r="Q46" s="536">
        <f>+SUMPRODUCT(Q47:Q50,AA47:AA50)</f>
        <v>0</v>
      </c>
      <c r="R46" s="536">
        <f>+SUMPRODUCT(R47:R50,AB47:AB50)</f>
        <v>0</v>
      </c>
      <c r="S46" s="536">
        <f>+SUMPRODUCT(S47:S50,AC47:AC50)</f>
        <v>0</v>
      </c>
      <c r="T46" s="533"/>
      <c r="U46" s="512"/>
      <c r="V46" s="537"/>
      <c r="W46" s="537"/>
      <c r="X46" s="719">
        <f>+SUMPRODUCT(X47:X50,Y47:Y50)</f>
        <v>0.25</v>
      </c>
      <c r="Y46" s="536">
        <v>0.4</v>
      </c>
      <c r="Z46" s="536">
        <v>0.4</v>
      </c>
      <c r="AA46" s="536"/>
      <c r="AB46" s="536"/>
      <c r="AC46" s="536"/>
      <c r="AD46" s="667">
        <f>SUM(AD47:AD50)</f>
        <v>497850171</v>
      </c>
      <c r="AE46" s="667">
        <f t="shared" ref="AE46:AG46" si="164">SUM(AE47:AE50)</f>
        <v>0</v>
      </c>
      <c r="AF46" s="667">
        <f t="shared" si="164"/>
        <v>0</v>
      </c>
      <c r="AG46" s="667">
        <f t="shared" si="164"/>
        <v>0</v>
      </c>
      <c r="AH46" s="667">
        <f>SUM(AH47:AH50)</f>
        <v>483555358</v>
      </c>
      <c r="AI46" s="667">
        <f t="shared" ref="AI46:AK46" si="165">SUM(AI47:AI50)</f>
        <v>0</v>
      </c>
      <c r="AJ46" s="667">
        <f t="shared" si="165"/>
        <v>0</v>
      </c>
      <c r="AK46" s="667">
        <f t="shared" si="165"/>
        <v>0</v>
      </c>
      <c r="AL46" s="538">
        <f t="shared" si="12"/>
        <v>0.97128691756540542</v>
      </c>
      <c r="AM46" s="538" t="e">
        <f t="shared" si="12"/>
        <v>#DIV/0!</v>
      </c>
      <c r="AN46" s="538" t="e">
        <f t="shared" si="12"/>
        <v>#DIV/0!</v>
      </c>
      <c r="AO46" s="538" t="e">
        <f t="shared" si="12"/>
        <v>#DIV/0!</v>
      </c>
      <c r="AP46" s="667">
        <f t="shared" ref="AP46" si="166">SUM(AP47:AP50)</f>
        <v>483555358</v>
      </c>
      <c r="AQ46" s="667">
        <f t="shared" ref="AQ46" si="167">SUM(AQ47:AQ50)</f>
        <v>0</v>
      </c>
      <c r="AR46" s="667">
        <f t="shared" ref="AR46" si="168">SUM(AR47:AR50)</f>
        <v>0</v>
      </c>
      <c r="AS46" s="667">
        <f t="shared" ref="AS46" si="169">SUM(AS47:AS50)</f>
        <v>0</v>
      </c>
      <c r="AT46" s="538">
        <f t="shared" si="17"/>
        <v>0.97128691756540542</v>
      </c>
      <c r="AU46" s="538" t="e">
        <f t="shared" si="17"/>
        <v>#DIV/0!</v>
      </c>
      <c r="AV46" s="538" t="e">
        <f t="shared" si="17"/>
        <v>#DIV/0!</v>
      </c>
      <c r="AW46" s="538" t="e">
        <f t="shared" si="17"/>
        <v>#DIV/0!</v>
      </c>
      <c r="AX46" s="667">
        <f>SUM(AX47:AX50)</f>
        <v>0</v>
      </c>
      <c r="AY46" s="667">
        <f t="shared" ref="AY46:BA46" si="170">SUM(AY47:AY50)</f>
        <v>0</v>
      </c>
      <c r="AZ46" s="667">
        <f t="shared" si="170"/>
        <v>0</v>
      </c>
      <c r="BA46" s="667">
        <f t="shared" si="170"/>
        <v>0</v>
      </c>
      <c r="BB46" s="667">
        <f t="shared" ref="BB46" si="171">SUM(BB47:BB50)</f>
        <v>0</v>
      </c>
      <c r="BC46" s="667">
        <f t="shared" ref="BC46" si="172">SUM(BC47:BC50)</f>
        <v>0</v>
      </c>
      <c r="BD46" s="667">
        <f t="shared" ref="BD46" si="173">SUM(BD47:BD50)</f>
        <v>0</v>
      </c>
      <c r="BE46" s="667">
        <f t="shared" ref="BE46" si="174">SUM(BE47:BE50)</f>
        <v>0</v>
      </c>
      <c r="BF46" s="733" t="e">
        <f t="shared" si="23"/>
        <v>#DIV/0!</v>
      </c>
      <c r="BG46" s="733" t="e">
        <f t="shared" si="23"/>
        <v>#DIV/0!</v>
      </c>
      <c r="BH46" s="733" t="e">
        <f t="shared" si="23"/>
        <v>#DIV/0!</v>
      </c>
      <c r="BI46" s="536" t="e">
        <f t="shared" si="23"/>
        <v>#DIV/0!</v>
      </c>
      <c r="BJ46" s="537">
        <f t="shared" si="24"/>
        <v>497850171</v>
      </c>
      <c r="BK46" s="537">
        <f t="shared" si="25"/>
        <v>483555358</v>
      </c>
      <c r="BL46" s="536">
        <f t="shared" si="26"/>
        <v>0.97128691756540542</v>
      </c>
      <c r="BM46" s="537">
        <f t="shared" si="27"/>
        <v>483555358</v>
      </c>
      <c r="BN46" s="536">
        <f t="shared" si="10"/>
        <v>0.97128691756540542</v>
      </c>
      <c r="BO46" s="534"/>
      <c r="BP46" s="534"/>
      <c r="BQ46" s="534"/>
      <c r="BR46" s="534"/>
    </row>
    <row r="47" spans="1:70" ht="53.25" customHeight="1" x14ac:dyDescent="0.25">
      <c r="A47" s="539" t="s">
        <v>1967</v>
      </c>
      <c r="B47" s="539" t="s">
        <v>2050</v>
      </c>
      <c r="C47" s="540" t="s">
        <v>2094</v>
      </c>
      <c r="D47" s="723">
        <v>100</v>
      </c>
      <c r="E47" s="723">
        <v>100</v>
      </c>
      <c r="F47" s="723">
        <v>100</v>
      </c>
      <c r="G47" s="741">
        <v>100</v>
      </c>
      <c r="H47" s="740">
        <v>100</v>
      </c>
      <c r="I47" s="540">
        <v>0</v>
      </c>
      <c r="J47" s="547"/>
      <c r="K47" s="547"/>
      <c r="L47" s="541"/>
      <c r="M47" s="542"/>
      <c r="N47" s="542"/>
      <c r="O47" s="542"/>
      <c r="P47" s="562">
        <f t="shared" ref="P47:S54" si="175">IF((H47+L47)/D47&gt;=100%,100%,(H47+L47)/D47)</f>
        <v>1</v>
      </c>
      <c r="Q47" s="562">
        <f t="shared" si="175"/>
        <v>0</v>
      </c>
      <c r="R47" s="562">
        <f t="shared" si="175"/>
        <v>0</v>
      </c>
      <c r="S47" s="562">
        <f t="shared" si="175"/>
        <v>0</v>
      </c>
      <c r="T47" s="552" t="s">
        <v>2106</v>
      </c>
      <c r="U47" s="629">
        <v>45657</v>
      </c>
      <c r="V47" s="544">
        <f>SUM(D47:G47)</f>
        <v>400</v>
      </c>
      <c r="W47" s="544">
        <f>SUM(H47:N47)</f>
        <v>100</v>
      </c>
      <c r="X47" s="549">
        <f t="shared" ref="X47:X54" si="176">IF(W47/V47&gt;=100%,100%,W47/V47)</f>
        <v>0.25</v>
      </c>
      <c r="Y47" s="546">
        <v>0.33333333333333337</v>
      </c>
      <c r="Z47" s="546">
        <v>0.33333333333333337</v>
      </c>
      <c r="AA47" s="546"/>
      <c r="AB47" s="547"/>
      <c r="AC47" s="547"/>
      <c r="AD47" s="668">
        <f>+'Anexo 5.2 A'!BG43</f>
        <v>165950057</v>
      </c>
      <c r="AE47" s="730"/>
      <c r="AF47" s="730"/>
      <c r="AG47" s="730"/>
      <c r="AH47" s="675">
        <f>+'Anexo 5.2 A'!BH43</f>
        <v>161185119.33333334</v>
      </c>
      <c r="AI47" s="728"/>
      <c r="AJ47" s="743"/>
      <c r="AK47" s="743"/>
      <c r="AL47" s="549">
        <f>+AH47/AD47</f>
        <v>0.97128691756540553</v>
      </c>
      <c r="AM47" s="549" t="e">
        <f t="shared" si="12"/>
        <v>#DIV/0!</v>
      </c>
      <c r="AN47" s="549" t="e">
        <f t="shared" si="12"/>
        <v>#DIV/0!</v>
      </c>
      <c r="AO47" s="549" t="e">
        <f t="shared" si="12"/>
        <v>#DIV/0!</v>
      </c>
      <c r="AP47" s="675">
        <f>+'Anexo 5.2 A'!BJ43</f>
        <v>161185119.33333334</v>
      </c>
      <c r="AQ47" s="675">
        <f>+'Anexo 5.2 A'!BK43</f>
        <v>0</v>
      </c>
      <c r="AR47" s="675">
        <f>+'Anexo 5.2 A'!BL43</f>
        <v>0</v>
      </c>
      <c r="AS47" s="675">
        <f>+'Anexo 5.2 A'!BM43</f>
        <v>0</v>
      </c>
      <c r="AT47" s="549">
        <f t="shared" si="17"/>
        <v>0.97128691756540553</v>
      </c>
      <c r="AU47" s="549" t="e">
        <f t="shared" si="17"/>
        <v>#DIV/0!</v>
      </c>
      <c r="AV47" s="549" t="e">
        <f t="shared" si="17"/>
        <v>#DIV/0!</v>
      </c>
      <c r="AW47" s="549" t="e">
        <f t="shared" si="17"/>
        <v>#DIV/0!</v>
      </c>
      <c r="AX47" s="676">
        <f t="shared" ref="AX47:AX54" si="177">+AH47-AP47</f>
        <v>0</v>
      </c>
      <c r="AY47" s="676">
        <f t="shared" ref="AY47:AY50" si="178">+AI47-AQ47</f>
        <v>0</v>
      </c>
      <c r="AZ47" s="676">
        <f t="shared" ref="AZ47:AZ50" si="179">+AJ47-AR47</f>
        <v>0</v>
      </c>
      <c r="BA47" s="676">
        <f t="shared" ref="BA47:BA50" si="180">+AK47-AS47</f>
        <v>0</v>
      </c>
      <c r="BB47" s="551"/>
      <c r="BC47" s="551"/>
      <c r="BD47" s="551"/>
      <c r="BE47" s="551"/>
      <c r="BF47" s="737" t="e">
        <f t="shared" si="23"/>
        <v>#DIV/0!</v>
      </c>
      <c r="BG47" s="737" t="e">
        <f t="shared" si="23"/>
        <v>#DIV/0!</v>
      </c>
      <c r="BH47" s="737" t="e">
        <f t="shared" si="23"/>
        <v>#DIV/0!</v>
      </c>
      <c r="BI47" s="547" t="e">
        <f t="shared" si="23"/>
        <v>#DIV/0!</v>
      </c>
      <c r="BJ47" s="730">
        <f t="shared" si="24"/>
        <v>165950057</v>
      </c>
      <c r="BK47" s="544">
        <f t="shared" si="25"/>
        <v>161185119.33333334</v>
      </c>
      <c r="BL47" s="553">
        <f t="shared" si="26"/>
        <v>0.97128691756540553</v>
      </c>
      <c r="BM47" s="544">
        <f t="shared" si="27"/>
        <v>161185119.33333334</v>
      </c>
      <c r="BN47" s="553">
        <f t="shared" si="10"/>
        <v>0.97128691756540553</v>
      </c>
      <c r="BO47" s="548"/>
      <c r="BP47" s="552" t="s">
        <v>2352</v>
      </c>
      <c r="BQ47" s="552" t="s">
        <v>2337</v>
      </c>
      <c r="BR47" s="554" t="s">
        <v>2325</v>
      </c>
    </row>
    <row r="48" spans="1:70" ht="53.25" customHeight="1" x14ac:dyDescent="0.25">
      <c r="A48" s="539" t="s">
        <v>1968</v>
      </c>
      <c r="B48" s="550" t="s">
        <v>2051</v>
      </c>
      <c r="C48" s="540" t="s">
        <v>2094</v>
      </c>
      <c r="D48" s="740">
        <v>100</v>
      </c>
      <c r="E48" s="723">
        <v>100</v>
      </c>
      <c r="F48" s="723">
        <v>100</v>
      </c>
      <c r="G48" s="741">
        <v>100</v>
      </c>
      <c r="H48" s="540">
        <v>100</v>
      </c>
      <c r="I48" s="540">
        <v>0</v>
      </c>
      <c r="J48" s="547"/>
      <c r="K48" s="547"/>
      <c r="L48" s="541"/>
      <c r="M48" s="542"/>
      <c r="N48" s="542"/>
      <c r="O48" s="542"/>
      <c r="P48" s="562">
        <f t="shared" si="175"/>
        <v>1</v>
      </c>
      <c r="Q48" s="562">
        <f t="shared" si="175"/>
        <v>0</v>
      </c>
      <c r="R48" s="562">
        <f t="shared" si="175"/>
        <v>0</v>
      </c>
      <c r="S48" s="562">
        <f t="shared" si="175"/>
        <v>0</v>
      </c>
      <c r="T48" s="552" t="s">
        <v>2135</v>
      </c>
      <c r="U48" s="629">
        <v>45657</v>
      </c>
      <c r="V48" s="544">
        <f>SUM(D48:G48)</f>
        <v>400</v>
      </c>
      <c r="W48" s="544">
        <f>SUM(H48:N48)</f>
        <v>100</v>
      </c>
      <c r="X48" s="549">
        <f t="shared" si="176"/>
        <v>0.25</v>
      </c>
      <c r="Y48" s="546">
        <v>0.33333333333333337</v>
      </c>
      <c r="Z48" s="546">
        <v>0.33333333333333337</v>
      </c>
      <c r="AA48" s="546"/>
      <c r="AB48" s="547"/>
      <c r="AC48" s="547"/>
      <c r="AD48" s="668">
        <f>+'Anexo 5.2 A'!BG44</f>
        <v>165950057</v>
      </c>
      <c r="AE48" s="730"/>
      <c r="AF48" s="730"/>
      <c r="AG48" s="730"/>
      <c r="AH48" s="675">
        <f>+'Anexo 5.2 A'!BH44</f>
        <v>161185119.33333334</v>
      </c>
      <c r="AI48" s="728"/>
      <c r="AJ48" s="743"/>
      <c r="AK48" s="743"/>
      <c r="AL48" s="549">
        <f t="shared" ref="AL48:AL50" si="181">+AH48/AD48</f>
        <v>0.97128691756540553</v>
      </c>
      <c r="AM48" s="549" t="e">
        <f t="shared" si="12"/>
        <v>#DIV/0!</v>
      </c>
      <c r="AN48" s="549" t="e">
        <f t="shared" si="12"/>
        <v>#DIV/0!</v>
      </c>
      <c r="AO48" s="549" t="e">
        <f t="shared" si="12"/>
        <v>#DIV/0!</v>
      </c>
      <c r="AP48" s="675">
        <f>+'Anexo 5.2 A'!BJ44</f>
        <v>161185119.33333334</v>
      </c>
      <c r="AQ48" s="675">
        <f>+'Anexo 5.2 A'!BK44</f>
        <v>0</v>
      </c>
      <c r="AR48" s="675">
        <f>+'Anexo 5.2 A'!BL44</f>
        <v>0</v>
      </c>
      <c r="AS48" s="675">
        <f>+'Anexo 5.2 A'!BM44</f>
        <v>0</v>
      </c>
      <c r="AT48" s="549">
        <f t="shared" si="17"/>
        <v>0.97128691756540553</v>
      </c>
      <c r="AU48" s="549" t="e">
        <f t="shared" si="17"/>
        <v>#DIV/0!</v>
      </c>
      <c r="AV48" s="549" t="e">
        <f t="shared" si="17"/>
        <v>#DIV/0!</v>
      </c>
      <c r="AW48" s="549" t="e">
        <f t="shared" si="17"/>
        <v>#DIV/0!</v>
      </c>
      <c r="AX48" s="676">
        <f t="shared" si="177"/>
        <v>0</v>
      </c>
      <c r="AY48" s="676">
        <f t="shared" si="178"/>
        <v>0</v>
      </c>
      <c r="AZ48" s="676">
        <f t="shared" si="179"/>
        <v>0</v>
      </c>
      <c r="BA48" s="676">
        <f t="shared" si="180"/>
        <v>0</v>
      </c>
      <c r="BB48" s="551"/>
      <c r="BC48" s="551"/>
      <c r="BD48" s="551"/>
      <c r="BE48" s="551"/>
      <c r="BF48" s="737" t="e">
        <f t="shared" si="23"/>
        <v>#DIV/0!</v>
      </c>
      <c r="BG48" s="737" t="e">
        <f t="shared" si="23"/>
        <v>#DIV/0!</v>
      </c>
      <c r="BH48" s="737" t="e">
        <f t="shared" si="23"/>
        <v>#DIV/0!</v>
      </c>
      <c r="BI48" s="547" t="e">
        <f t="shared" si="23"/>
        <v>#DIV/0!</v>
      </c>
      <c r="BJ48" s="730">
        <f t="shared" si="24"/>
        <v>165950057</v>
      </c>
      <c r="BK48" s="544">
        <f t="shared" si="25"/>
        <v>161185119.33333334</v>
      </c>
      <c r="BL48" s="553">
        <f t="shared" si="26"/>
        <v>0.97128691756540553</v>
      </c>
      <c r="BM48" s="544">
        <f t="shared" si="27"/>
        <v>161185119.33333334</v>
      </c>
      <c r="BN48" s="553">
        <f t="shared" si="10"/>
        <v>0.97128691756540553</v>
      </c>
      <c r="BO48" s="548"/>
      <c r="BP48" s="552" t="s">
        <v>2352</v>
      </c>
      <c r="BQ48" s="552" t="s">
        <v>2337</v>
      </c>
      <c r="BR48" s="554" t="s">
        <v>2325</v>
      </c>
    </row>
    <row r="49" spans="1:70" ht="53.25" customHeight="1" x14ac:dyDescent="0.25">
      <c r="A49" s="539" t="s">
        <v>1969</v>
      </c>
      <c r="B49" s="550" t="s">
        <v>2052</v>
      </c>
      <c r="C49" s="554" t="s">
        <v>2096</v>
      </c>
      <c r="D49" s="750">
        <v>100</v>
      </c>
      <c r="E49" s="723">
        <v>100</v>
      </c>
      <c r="F49" s="723">
        <v>100</v>
      </c>
      <c r="G49" s="741">
        <v>100</v>
      </c>
      <c r="H49" s="740">
        <v>100</v>
      </c>
      <c r="I49" s="540">
        <v>0</v>
      </c>
      <c r="J49" s="547"/>
      <c r="K49" s="547"/>
      <c r="L49" s="541"/>
      <c r="M49" s="542"/>
      <c r="N49" s="542"/>
      <c r="O49" s="542"/>
      <c r="P49" s="562">
        <f t="shared" si="175"/>
        <v>1</v>
      </c>
      <c r="Q49" s="562">
        <f t="shared" si="175"/>
        <v>0</v>
      </c>
      <c r="R49" s="562">
        <f t="shared" si="175"/>
        <v>0</v>
      </c>
      <c r="S49" s="562">
        <f t="shared" si="175"/>
        <v>0</v>
      </c>
      <c r="T49" s="552" t="s">
        <v>2107</v>
      </c>
      <c r="U49" s="629">
        <v>45657</v>
      </c>
      <c r="V49" s="544">
        <f>SUM(D49:G49)</f>
        <v>400</v>
      </c>
      <c r="W49" s="544">
        <f>SUM(H49:N49)</f>
        <v>100</v>
      </c>
      <c r="X49" s="549">
        <f t="shared" si="176"/>
        <v>0.25</v>
      </c>
      <c r="Y49" s="546">
        <v>0.33333333333333337</v>
      </c>
      <c r="Z49" s="546">
        <v>0.33333333333333337</v>
      </c>
      <c r="AA49" s="546"/>
      <c r="AB49" s="547"/>
      <c r="AC49" s="547"/>
      <c r="AD49" s="668">
        <f>+'Anexo 5.2 A'!BG45</f>
        <v>165950057</v>
      </c>
      <c r="AE49" s="730"/>
      <c r="AF49" s="730"/>
      <c r="AG49" s="730"/>
      <c r="AH49" s="675">
        <f>+'Anexo 5.2 A'!BH45</f>
        <v>161185119.33333334</v>
      </c>
      <c r="AI49" s="728"/>
      <c r="AJ49" s="743"/>
      <c r="AK49" s="751"/>
      <c r="AL49" s="549">
        <f t="shared" si="181"/>
        <v>0.97128691756540553</v>
      </c>
      <c r="AM49" s="752" t="e">
        <f t="shared" si="12"/>
        <v>#DIV/0!</v>
      </c>
      <c r="AN49" s="752" t="e">
        <f t="shared" si="12"/>
        <v>#DIV/0!</v>
      </c>
      <c r="AO49" s="752" t="e">
        <f t="shared" si="12"/>
        <v>#DIV/0!</v>
      </c>
      <c r="AP49" s="675">
        <f>+'Anexo 5.2 A'!BJ45</f>
        <v>161185119.33333334</v>
      </c>
      <c r="AQ49" s="675">
        <f>+'Anexo 5.2 A'!BK45</f>
        <v>0</v>
      </c>
      <c r="AR49" s="675">
        <f>+'Anexo 5.2 A'!BL45</f>
        <v>0</v>
      </c>
      <c r="AS49" s="675">
        <f>+'Anexo 5.2 A'!BM45</f>
        <v>0</v>
      </c>
      <c r="AT49" s="753">
        <f t="shared" si="17"/>
        <v>0.97128691756540553</v>
      </c>
      <c r="AU49" s="753" t="e">
        <f t="shared" si="17"/>
        <v>#DIV/0!</v>
      </c>
      <c r="AV49" s="753" t="e">
        <f t="shared" si="17"/>
        <v>#DIV/0!</v>
      </c>
      <c r="AW49" s="753" t="e">
        <f t="shared" si="17"/>
        <v>#DIV/0!</v>
      </c>
      <c r="AX49" s="676">
        <f t="shared" si="177"/>
        <v>0</v>
      </c>
      <c r="AY49" s="676">
        <f t="shared" si="178"/>
        <v>0</v>
      </c>
      <c r="AZ49" s="676">
        <f t="shared" si="179"/>
        <v>0</v>
      </c>
      <c r="BA49" s="676">
        <f t="shared" si="180"/>
        <v>0</v>
      </c>
      <c r="BB49" s="551"/>
      <c r="BC49" s="551"/>
      <c r="BD49" s="551"/>
      <c r="BE49" s="551"/>
      <c r="BF49" s="737" t="e">
        <f t="shared" si="23"/>
        <v>#DIV/0!</v>
      </c>
      <c r="BG49" s="737" t="e">
        <f t="shared" si="23"/>
        <v>#DIV/0!</v>
      </c>
      <c r="BH49" s="737" t="e">
        <f t="shared" si="23"/>
        <v>#DIV/0!</v>
      </c>
      <c r="BI49" s="547" t="e">
        <f t="shared" si="23"/>
        <v>#DIV/0!</v>
      </c>
      <c r="BJ49" s="730">
        <f t="shared" si="24"/>
        <v>165950057</v>
      </c>
      <c r="BK49" s="544">
        <f t="shared" si="25"/>
        <v>161185119.33333334</v>
      </c>
      <c r="BL49" s="553">
        <f t="shared" si="26"/>
        <v>0.97128691756540553</v>
      </c>
      <c r="BM49" s="544">
        <f t="shared" si="27"/>
        <v>161185119.33333334</v>
      </c>
      <c r="BN49" s="553">
        <f t="shared" si="10"/>
        <v>0.97128691756540553</v>
      </c>
      <c r="BO49" s="548"/>
      <c r="BP49" s="552" t="s">
        <v>2352</v>
      </c>
      <c r="BQ49" s="552" t="s">
        <v>2336</v>
      </c>
      <c r="BR49" s="554" t="s">
        <v>2325</v>
      </c>
    </row>
    <row r="50" spans="1:70" ht="53.25" customHeight="1" x14ac:dyDescent="0.25">
      <c r="A50" s="539" t="s">
        <v>1970</v>
      </c>
      <c r="B50" s="539" t="s">
        <v>2053</v>
      </c>
      <c r="C50" s="554" t="s">
        <v>2094</v>
      </c>
      <c r="D50" s="750">
        <v>0</v>
      </c>
      <c r="E50" s="744">
        <v>30</v>
      </c>
      <c r="F50" s="744">
        <v>40</v>
      </c>
      <c r="G50" s="754">
        <v>30</v>
      </c>
      <c r="H50" s="740">
        <v>0</v>
      </c>
      <c r="I50" s="540">
        <v>0</v>
      </c>
      <c r="J50" s="547"/>
      <c r="K50" s="547"/>
      <c r="L50" s="541"/>
      <c r="M50" s="542"/>
      <c r="N50" s="542"/>
      <c r="O50" s="542"/>
      <c r="P50" s="562" t="s">
        <v>2142</v>
      </c>
      <c r="Q50" s="562">
        <f t="shared" si="175"/>
        <v>0</v>
      </c>
      <c r="R50" s="562">
        <f t="shared" si="175"/>
        <v>0</v>
      </c>
      <c r="S50" s="562">
        <f t="shared" si="175"/>
        <v>0</v>
      </c>
      <c r="T50" s="562" t="s">
        <v>2142</v>
      </c>
      <c r="U50" s="629">
        <v>45657</v>
      </c>
      <c r="V50" s="544">
        <f>SUM(D50:G50)</f>
        <v>100</v>
      </c>
      <c r="W50" s="544">
        <f>SUM(H50:N50)</f>
        <v>0</v>
      </c>
      <c r="X50" s="549">
        <f t="shared" si="176"/>
        <v>0</v>
      </c>
      <c r="Y50" s="546" t="s">
        <v>2142</v>
      </c>
      <c r="Z50" s="562" t="s">
        <v>2142</v>
      </c>
      <c r="AA50" s="546"/>
      <c r="AB50" s="547"/>
      <c r="AC50" s="547"/>
      <c r="AD50" s="668">
        <f>+'Anexo 5.2 A'!BG46</f>
        <v>0</v>
      </c>
      <c r="AE50" s="730"/>
      <c r="AF50" s="730"/>
      <c r="AG50" s="730"/>
      <c r="AH50" s="675">
        <f>+'Anexo 5.2 A'!BH46</f>
        <v>0</v>
      </c>
      <c r="AI50" s="540"/>
      <c r="AJ50" s="748"/>
      <c r="AK50" s="755"/>
      <c r="AL50" s="549" t="e">
        <f t="shared" si="181"/>
        <v>#DIV/0!</v>
      </c>
      <c r="AM50" s="752" t="e">
        <f t="shared" si="12"/>
        <v>#DIV/0!</v>
      </c>
      <c r="AN50" s="752" t="e">
        <f t="shared" si="12"/>
        <v>#DIV/0!</v>
      </c>
      <c r="AO50" s="752" t="e">
        <f t="shared" si="12"/>
        <v>#DIV/0!</v>
      </c>
      <c r="AP50" s="675">
        <f>+'Anexo 5.2 A'!BJ46</f>
        <v>0</v>
      </c>
      <c r="AQ50" s="675">
        <f>+'Anexo 5.2 A'!BK46</f>
        <v>0</v>
      </c>
      <c r="AR50" s="675">
        <f>+'Anexo 5.2 A'!BL46</f>
        <v>0</v>
      </c>
      <c r="AS50" s="675">
        <f>+'Anexo 5.2 A'!BM46</f>
        <v>0</v>
      </c>
      <c r="AT50" s="753" t="e">
        <f t="shared" si="17"/>
        <v>#DIV/0!</v>
      </c>
      <c r="AU50" s="753" t="e">
        <f t="shared" si="17"/>
        <v>#DIV/0!</v>
      </c>
      <c r="AV50" s="753" t="e">
        <f t="shared" si="17"/>
        <v>#DIV/0!</v>
      </c>
      <c r="AW50" s="753" t="e">
        <f t="shared" si="17"/>
        <v>#DIV/0!</v>
      </c>
      <c r="AX50" s="676">
        <f t="shared" si="177"/>
        <v>0</v>
      </c>
      <c r="AY50" s="676">
        <f t="shared" si="178"/>
        <v>0</v>
      </c>
      <c r="AZ50" s="676">
        <f t="shared" si="179"/>
        <v>0</v>
      </c>
      <c r="BA50" s="676">
        <f t="shared" si="180"/>
        <v>0</v>
      </c>
      <c r="BB50" s="550"/>
      <c r="BC50" s="550"/>
      <c r="BD50" s="550"/>
      <c r="BE50" s="550"/>
      <c r="BF50" s="540" t="e">
        <f t="shared" si="23"/>
        <v>#DIV/0!</v>
      </c>
      <c r="BG50" s="540" t="e">
        <f t="shared" si="23"/>
        <v>#DIV/0!</v>
      </c>
      <c r="BH50" s="540" t="e">
        <f t="shared" si="23"/>
        <v>#DIV/0!</v>
      </c>
      <c r="BI50" s="547" t="e">
        <f t="shared" si="23"/>
        <v>#DIV/0!</v>
      </c>
      <c r="BJ50" s="730">
        <f t="shared" si="24"/>
        <v>0</v>
      </c>
      <c r="BK50" s="544">
        <f t="shared" si="25"/>
        <v>0</v>
      </c>
      <c r="BL50" s="553" t="e">
        <f t="shared" si="26"/>
        <v>#DIV/0!</v>
      </c>
      <c r="BM50" s="544">
        <f t="shared" si="27"/>
        <v>0</v>
      </c>
      <c r="BN50" s="553" t="e">
        <f t="shared" si="10"/>
        <v>#DIV/0!</v>
      </c>
      <c r="BO50" s="548"/>
      <c r="BP50" s="552" t="s">
        <v>2352</v>
      </c>
      <c r="BQ50" s="552" t="s">
        <v>2343</v>
      </c>
      <c r="BR50" s="761" t="s">
        <v>2325</v>
      </c>
    </row>
    <row r="51" spans="1:70" ht="53.25" customHeight="1" x14ac:dyDescent="0.25">
      <c r="A51" s="533" t="s">
        <v>2054</v>
      </c>
      <c r="B51" s="533"/>
      <c r="C51" s="534"/>
      <c r="D51" s="534"/>
      <c r="E51" s="535"/>
      <c r="F51" s="535"/>
      <c r="G51" s="535"/>
      <c r="H51" s="535"/>
      <c r="I51" s="535"/>
      <c r="J51" s="535"/>
      <c r="K51" s="535"/>
      <c r="L51" s="535"/>
      <c r="M51" s="535"/>
      <c r="N51" s="535"/>
      <c r="O51" s="535"/>
      <c r="P51" s="536">
        <f>+SUMPRODUCT(P52:P54,Z52:Z54)</f>
        <v>1</v>
      </c>
      <c r="Q51" s="726"/>
      <c r="R51" s="726"/>
      <c r="S51" s="726"/>
      <c r="T51" s="660"/>
      <c r="U51" s="536"/>
      <c r="V51" s="536"/>
      <c r="W51" s="536"/>
      <c r="X51" s="538">
        <f>+SUMPRODUCT(X52:X54,Y52:Y54)</f>
        <v>0.25</v>
      </c>
      <c r="Y51" s="536">
        <v>0.6</v>
      </c>
      <c r="Z51" s="536">
        <v>0.6</v>
      </c>
      <c r="AA51" s="536"/>
      <c r="AB51" s="536"/>
      <c r="AC51" s="536"/>
      <c r="AD51" s="667">
        <f>SUM(AD52:AD54)</f>
        <v>16304562963.220001</v>
      </c>
      <c r="AE51" s="667">
        <f t="shared" ref="AE51:AG51" si="182">SUM(AE52:AE54)</f>
        <v>0</v>
      </c>
      <c r="AF51" s="667">
        <f t="shared" si="182"/>
        <v>0</v>
      </c>
      <c r="AG51" s="667">
        <f t="shared" si="182"/>
        <v>0</v>
      </c>
      <c r="AH51" s="667">
        <f>SUM(AH52:AH54)</f>
        <v>16284569380</v>
      </c>
      <c r="AI51" s="667">
        <f t="shared" ref="AI51:AK51" si="183">SUM(AI52:AI54)</f>
        <v>0</v>
      </c>
      <c r="AJ51" s="667">
        <f t="shared" si="183"/>
        <v>0</v>
      </c>
      <c r="AK51" s="667">
        <f t="shared" si="183"/>
        <v>0</v>
      </c>
      <c r="AL51" s="538">
        <f t="shared" ref="AL51" si="184">+AH51/AD51</f>
        <v>0.9987737430763951</v>
      </c>
      <c r="AM51" s="538" t="e">
        <f t="shared" ref="AM51:AM54" si="185">+AI51/AE51</f>
        <v>#DIV/0!</v>
      </c>
      <c r="AN51" s="538" t="e">
        <f t="shared" ref="AN51:AN54" si="186">+AJ51/AF51</f>
        <v>#DIV/0!</v>
      </c>
      <c r="AO51" s="538" t="e">
        <f t="shared" ref="AO51:AO54" si="187">+AK51/AG51</f>
        <v>#DIV/0!</v>
      </c>
      <c r="AP51" s="667">
        <f t="shared" ref="AP51" si="188">SUM(AP52:AP54)</f>
        <v>8837763959.1999989</v>
      </c>
      <c r="AQ51" s="667">
        <f t="shared" ref="AQ51" si="189">SUM(AQ52:AQ54)</f>
        <v>0</v>
      </c>
      <c r="AR51" s="667">
        <f t="shared" ref="AR51" si="190">SUM(AR52:AR54)</f>
        <v>0</v>
      </c>
      <c r="AS51" s="667">
        <f t="shared" ref="AS51" si="191">SUM(AS52:AS54)</f>
        <v>0</v>
      </c>
      <c r="AT51" s="538">
        <f t="shared" ref="AT51:AT54" si="192">+AP51/AD51</f>
        <v>0.54204237053984927</v>
      </c>
      <c r="AU51" s="538" t="e">
        <f t="shared" ref="AU51:AU54" si="193">+AQ51/AE51</f>
        <v>#DIV/0!</v>
      </c>
      <c r="AV51" s="538" t="e">
        <f t="shared" ref="AV51:AV54" si="194">+AR51/AF51</f>
        <v>#DIV/0!</v>
      </c>
      <c r="AW51" s="538" t="e">
        <f t="shared" ref="AW51:AW54" si="195">+AS51/AG51</f>
        <v>#DIV/0!</v>
      </c>
      <c r="AX51" s="667">
        <f>SUM(AX52:AX54)</f>
        <v>7446805420.8000002</v>
      </c>
      <c r="AY51" s="667">
        <f t="shared" ref="AY51:BA51" si="196">SUM(AY52:AY54)</f>
        <v>0</v>
      </c>
      <c r="AZ51" s="667">
        <f t="shared" si="196"/>
        <v>0</v>
      </c>
      <c r="BA51" s="667">
        <f t="shared" si="196"/>
        <v>0</v>
      </c>
      <c r="BB51" s="667">
        <f t="shared" ref="BB51" si="197">SUM(BB52:BB54)</f>
        <v>0</v>
      </c>
      <c r="BC51" s="667">
        <f t="shared" ref="BC51" si="198">SUM(BC52:BC54)</f>
        <v>0</v>
      </c>
      <c r="BD51" s="667">
        <f t="shared" ref="BD51" si="199">SUM(BD52:BD54)</f>
        <v>0</v>
      </c>
      <c r="BE51" s="667">
        <f t="shared" ref="BE51" si="200">SUM(BE52:BE54)</f>
        <v>0</v>
      </c>
      <c r="BF51" s="733">
        <f t="shared" ref="BF51" si="201">+BB51/AX51</f>
        <v>0</v>
      </c>
      <c r="BG51" s="733" t="e">
        <f t="shared" ref="BG51" si="202">+BC51/AY51</f>
        <v>#DIV/0!</v>
      </c>
      <c r="BH51" s="733" t="e">
        <f t="shared" ref="BH51" si="203">+BD51/AZ51</f>
        <v>#DIV/0!</v>
      </c>
      <c r="BI51" s="536" t="e">
        <f t="shared" ref="BI51" si="204">+BE51/BA51</f>
        <v>#DIV/0!</v>
      </c>
      <c r="BJ51" s="537">
        <f t="shared" si="24"/>
        <v>16304562963.220001</v>
      </c>
      <c r="BK51" s="537">
        <f t="shared" ref="BK51:BK54" si="205">+AH51+AI51+AJ51+AK51</f>
        <v>16284569380</v>
      </c>
      <c r="BL51" s="536">
        <f t="shared" ref="BL51:BL54" si="206">+BK51/BJ51</f>
        <v>0.9987737430763951</v>
      </c>
      <c r="BM51" s="537">
        <f t="shared" ref="BM51:BM54" si="207">+AP51+AQ51+AR51+AS51</f>
        <v>8837763959.1999989</v>
      </c>
      <c r="BN51" s="536">
        <f t="shared" ref="BN51:BN54" si="208">+BM51/BJ51</f>
        <v>0.54204237053984927</v>
      </c>
      <c r="BO51" s="534"/>
      <c r="BP51" s="762"/>
      <c r="BQ51" s="534"/>
      <c r="BR51" s="534"/>
    </row>
    <row r="52" spans="1:70" ht="53.25" customHeight="1" x14ac:dyDescent="0.25">
      <c r="A52" s="539" t="s">
        <v>2055</v>
      </c>
      <c r="B52" s="539" t="s">
        <v>2057</v>
      </c>
      <c r="C52" s="554" t="s">
        <v>2093</v>
      </c>
      <c r="D52" s="756">
        <v>1</v>
      </c>
      <c r="E52" s="744">
        <v>1</v>
      </c>
      <c r="F52" s="744">
        <v>1</v>
      </c>
      <c r="G52" s="754">
        <v>1</v>
      </c>
      <c r="H52" s="744">
        <v>1</v>
      </c>
      <c r="I52" s="547">
        <v>0</v>
      </c>
      <c r="J52" s="547"/>
      <c r="K52" s="547"/>
      <c r="L52" s="541"/>
      <c r="M52" s="542"/>
      <c r="N52" s="542"/>
      <c r="O52" s="542"/>
      <c r="P52" s="562">
        <f t="shared" si="175"/>
        <v>1</v>
      </c>
      <c r="Q52" s="562"/>
      <c r="R52" s="562"/>
      <c r="S52" s="562"/>
      <c r="T52" s="552" t="s">
        <v>2108</v>
      </c>
      <c r="U52" s="629">
        <v>45657</v>
      </c>
      <c r="V52" s="544">
        <f t="shared" ref="V52:V54" si="209">SUM(D52:G52)</f>
        <v>4</v>
      </c>
      <c r="W52" s="544">
        <f t="shared" ref="W52:W54" si="210">SUM(H52:N52)</f>
        <v>1</v>
      </c>
      <c r="X52" s="549">
        <f t="shared" si="176"/>
        <v>0.25</v>
      </c>
      <c r="Y52" s="546">
        <v>0.5</v>
      </c>
      <c r="Z52" s="546">
        <v>0.5</v>
      </c>
      <c r="AA52" s="546"/>
      <c r="AB52" s="547"/>
      <c r="AC52" s="547"/>
      <c r="AD52" s="668">
        <f>+'Anexo 5.2 A'!BG48</f>
        <v>1635534690.77</v>
      </c>
      <c r="AE52" s="730"/>
      <c r="AF52" s="730"/>
      <c r="AG52" s="730"/>
      <c r="AH52" s="675">
        <f>+'Anexo 5.2 A'!BH48</f>
        <v>1634771951</v>
      </c>
      <c r="AI52" s="540"/>
      <c r="AJ52" s="748"/>
      <c r="AK52" s="755"/>
      <c r="AL52" s="549">
        <f t="shared" si="12"/>
        <v>0.99953364500655084</v>
      </c>
      <c r="AM52" s="549" t="e">
        <f t="shared" si="185"/>
        <v>#DIV/0!</v>
      </c>
      <c r="AN52" s="549" t="e">
        <f t="shared" si="186"/>
        <v>#DIV/0!</v>
      </c>
      <c r="AO52" s="549" t="e">
        <f t="shared" si="187"/>
        <v>#DIV/0!</v>
      </c>
      <c r="AP52" s="675">
        <f>+'Anexo 5.2 A'!BJ48</f>
        <v>1304192866.3</v>
      </c>
      <c r="AQ52" s="675">
        <f>+'Anexo 5.2 A'!BK48</f>
        <v>0</v>
      </c>
      <c r="AR52" s="675">
        <f>+'Anexo 5.2 A'!BL48</f>
        <v>0</v>
      </c>
      <c r="AS52" s="675">
        <f>+'Anexo 5.2 A'!BM48</f>
        <v>0</v>
      </c>
      <c r="AT52" s="549">
        <f t="shared" si="192"/>
        <v>0.79741070223707311</v>
      </c>
      <c r="AU52" s="549" t="e">
        <f t="shared" si="193"/>
        <v>#DIV/0!</v>
      </c>
      <c r="AV52" s="549" t="e">
        <f t="shared" si="194"/>
        <v>#DIV/0!</v>
      </c>
      <c r="AW52" s="549" t="e">
        <f t="shared" si="195"/>
        <v>#DIV/0!</v>
      </c>
      <c r="AX52" s="676">
        <f t="shared" si="177"/>
        <v>330579084.70000005</v>
      </c>
      <c r="AY52" s="676">
        <f t="shared" ref="AY52:AY54" si="211">+AI52-AQ52</f>
        <v>0</v>
      </c>
      <c r="AZ52" s="676">
        <f t="shared" ref="AZ52:AZ54" si="212">+AJ52-AR52</f>
        <v>0</v>
      </c>
      <c r="BA52" s="676">
        <f t="shared" ref="BA52:BA54" si="213">+AK52-AS52</f>
        <v>0</v>
      </c>
      <c r="BB52" s="550"/>
      <c r="BC52" s="550"/>
      <c r="BD52" s="550"/>
      <c r="BE52" s="550"/>
      <c r="BF52" s="737">
        <f t="shared" si="23"/>
        <v>0</v>
      </c>
      <c r="BG52" s="540"/>
      <c r="BH52" s="540"/>
      <c r="BI52" s="547"/>
      <c r="BJ52" s="730">
        <f t="shared" si="24"/>
        <v>1635534690.77</v>
      </c>
      <c r="BK52" s="544">
        <f t="shared" si="205"/>
        <v>1634771951</v>
      </c>
      <c r="BL52" s="553">
        <f t="shared" si="206"/>
        <v>0.99953364500655084</v>
      </c>
      <c r="BM52" s="544">
        <f t="shared" si="207"/>
        <v>1304192866.3</v>
      </c>
      <c r="BN52" s="553">
        <f t="shared" si="208"/>
        <v>0.79741070223707311</v>
      </c>
      <c r="BO52" s="548"/>
      <c r="BP52" s="552" t="s">
        <v>2352</v>
      </c>
      <c r="BQ52" s="552" t="s">
        <v>2338</v>
      </c>
      <c r="BR52" s="761" t="s">
        <v>2325</v>
      </c>
    </row>
    <row r="53" spans="1:70" ht="53.25" customHeight="1" x14ac:dyDescent="0.25">
      <c r="A53" s="539" t="s">
        <v>2268</v>
      </c>
      <c r="B53" s="539" t="s">
        <v>2058</v>
      </c>
      <c r="C53" s="554" t="s">
        <v>2093</v>
      </c>
      <c r="D53" s="756">
        <v>0</v>
      </c>
      <c r="E53" s="744">
        <v>1</v>
      </c>
      <c r="F53" s="744">
        <v>1</v>
      </c>
      <c r="G53" s="754">
        <v>1</v>
      </c>
      <c r="H53" s="744">
        <v>0</v>
      </c>
      <c r="I53" s="547">
        <v>0</v>
      </c>
      <c r="J53" s="547"/>
      <c r="K53" s="547"/>
      <c r="L53" s="541"/>
      <c r="M53" s="542"/>
      <c r="N53" s="542"/>
      <c r="O53" s="542"/>
      <c r="P53" s="562" t="s">
        <v>2142</v>
      </c>
      <c r="Q53" s="562"/>
      <c r="R53" s="562"/>
      <c r="S53" s="562"/>
      <c r="T53" s="562" t="s">
        <v>2142</v>
      </c>
      <c r="U53" s="629">
        <v>45657</v>
      </c>
      <c r="V53" s="544">
        <f t="shared" si="209"/>
        <v>3</v>
      </c>
      <c r="W53" s="544">
        <f t="shared" si="210"/>
        <v>0</v>
      </c>
      <c r="X53" s="549">
        <f t="shared" si="176"/>
        <v>0</v>
      </c>
      <c r="Y53" s="546" t="s">
        <v>2142</v>
      </c>
      <c r="Z53" s="562" t="s">
        <v>2142</v>
      </c>
      <c r="AA53" s="546"/>
      <c r="AB53" s="547"/>
      <c r="AC53" s="547"/>
      <c r="AD53" s="668">
        <f>+'Anexo 5.2 A'!BG49</f>
        <v>0</v>
      </c>
      <c r="AE53" s="730"/>
      <c r="AF53" s="730"/>
      <c r="AG53" s="730"/>
      <c r="AH53" s="675">
        <f>+'Anexo 5.2 A'!BH49</f>
        <v>0</v>
      </c>
      <c r="AI53" s="540"/>
      <c r="AJ53" s="748"/>
      <c r="AK53" s="755"/>
      <c r="AL53" s="549" t="e">
        <f t="shared" si="12"/>
        <v>#DIV/0!</v>
      </c>
      <c r="AM53" s="549" t="e">
        <f t="shared" si="185"/>
        <v>#DIV/0!</v>
      </c>
      <c r="AN53" s="549" t="e">
        <f t="shared" si="186"/>
        <v>#DIV/0!</v>
      </c>
      <c r="AO53" s="549" t="e">
        <f t="shared" si="187"/>
        <v>#DIV/0!</v>
      </c>
      <c r="AP53" s="675">
        <f>+'Anexo 5.2 A'!BJ49</f>
        <v>0</v>
      </c>
      <c r="AQ53" s="675">
        <f>+'Anexo 5.2 A'!BK49</f>
        <v>0</v>
      </c>
      <c r="AR53" s="675">
        <f>+'Anexo 5.2 A'!BL49</f>
        <v>0</v>
      </c>
      <c r="AS53" s="675">
        <f>+'Anexo 5.2 A'!BM49</f>
        <v>0</v>
      </c>
      <c r="AT53" s="549" t="e">
        <f t="shared" si="192"/>
        <v>#DIV/0!</v>
      </c>
      <c r="AU53" s="549" t="e">
        <f t="shared" si="193"/>
        <v>#DIV/0!</v>
      </c>
      <c r="AV53" s="549" t="e">
        <f t="shared" si="194"/>
        <v>#DIV/0!</v>
      </c>
      <c r="AW53" s="549" t="e">
        <f t="shared" si="195"/>
        <v>#DIV/0!</v>
      </c>
      <c r="AX53" s="676">
        <f t="shared" si="177"/>
        <v>0</v>
      </c>
      <c r="AY53" s="676">
        <f t="shared" si="211"/>
        <v>0</v>
      </c>
      <c r="AZ53" s="676">
        <f t="shared" si="212"/>
        <v>0</v>
      </c>
      <c r="BA53" s="676">
        <f t="shared" si="213"/>
        <v>0</v>
      </c>
      <c r="BB53" s="550"/>
      <c r="BC53" s="550"/>
      <c r="BD53" s="550"/>
      <c r="BE53" s="550"/>
      <c r="BF53" s="737" t="e">
        <f t="shared" si="23"/>
        <v>#DIV/0!</v>
      </c>
      <c r="BG53" s="540"/>
      <c r="BH53" s="540"/>
      <c r="BI53" s="547"/>
      <c r="BJ53" s="730">
        <f t="shared" si="24"/>
        <v>0</v>
      </c>
      <c r="BK53" s="544">
        <f t="shared" si="205"/>
        <v>0</v>
      </c>
      <c r="BL53" s="553" t="e">
        <f t="shared" si="206"/>
        <v>#DIV/0!</v>
      </c>
      <c r="BM53" s="544">
        <f t="shared" si="207"/>
        <v>0</v>
      </c>
      <c r="BN53" s="553" t="e">
        <f t="shared" si="208"/>
        <v>#DIV/0!</v>
      </c>
      <c r="BO53" s="548"/>
      <c r="BP53" s="552" t="s">
        <v>2352</v>
      </c>
      <c r="BQ53" s="552" t="s">
        <v>2338</v>
      </c>
      <c r="BR53" s="761" t="s">
        <v>2325</v>
      </c>
    </row>
    <row r="54" spans="1:70" ht="53.25" customHeight="1" x14ac:dyDescent="0.25">
      <c r="A54" s="539" t="s">
        <v>2056</v>
      </c>
      <c r="B54" s="539" t="s">
        <v>2059</v>
      </c>
      <c r="C54" s="554" t="s">
        <v>2093</v>
      </c>
      <c r="D54" s="756">
        <v>1</v>
      </c>
      <c r="E54" s="744">
        <v>1</v>
      </c>
      <c r="F54" s="744">
        <v>1</v>
      </c>
      <c r="G54" s="754">
        <v>1</v>
      </c>
      <c r="H54" s="744">
        <v>1</v>
      </c>
      <c r="I54" s="547">
        <v>0</v>
      </c>
      <c r="J54" s="547"/>
      <c r="K54" s="547"/>
      <c r="L54" s="541"/>
      <c r="M54" s="542"/>
      <c r="N54" s="542"/>
      <c r="O54" s="542"/>
      <c r="P54" s="562">
        <f t="shared" si="175"/>
        <v>1</v>
      </c>
      <c r="Q54" s="562"/>
      <c r="R54" s="562"/>
      <c r="S54" s="562"/>
      <c r="T54" s="552" t="s">
        <v>2136</v>
      </c>
      <c r="U54" s="629">
        <v>45657</v>
      </c>
      <c r="V54" s="544">
        <f t="shared" si="209"/>
        <v>4</v>
      </c>
      <c r="W54" s="544">
        <f t="shared" si="210"/>
        <v>1</v>
      </c>
      <c r="X54" s="549">
        <f t="shared" si="176"/>
        <v>0.25</v>
      </c>
      <c r="Y54" s="546">
        <v>0.5</v>
      </c>
      <c r="Z54" s="546">
        <v>0.5</v>
      </c>
      <c r="AA54" s="546"/>
      <c r="AB54" s="547"/>
      <c r="AC54" s="547"/>
      <c r="AD54" s="668">
        <f>+'Anexo 5.2 A'!BG50</f>
        <v>14669028272.450001</v>
      </c>
      <c r="AE54" s="730"/>
      <c r="AF54" s="730"/>
      <c r="AG54" s="730"/>
      <c r="AH54" s="675">
        <f>+'Anexo 5.2 A'!BH50</f>
        <v>14649797429</v>
      </c>
      <c r="AI54" s="540"/>
      <c r="AJ54" s="748"/>
      <c r="AK54" s="755"/>
      <c r="AL54" s="549">
        <f t="shared" si="12"/>
        <v>0.99868901722098946</v>
      </c>
      <c r="AM54" s="752" t="e">
        <f t="shared" si="185"/>
        <v>#DIV/0!</v>
      </c>
      <c r="AN54" s="752" t="e">
        <f t="shared" si="186"/>
        <v>#DIV/0!</v>
      </c>
      <c r="AO54" s="752" t="e">
        <f t="shared" si="187"/>
        <v>#DIV/0!</v>
      </c>
      <c r="AP54" s="675">
        <f>+'Anexo 5.2 A'!BJ50</f>
        <v>7533571092.8999996</v>
      </c>
      <c r="AQ54" s="675">
        <f>+'Anexo 5.2 A'!BK50</f>
        <v>0</v>
      </c>
      <c r="AR54" s="675">
        <f>+'Anexo 5.2 A'!BL50</f>
        <v>0</v>
      </c>
      <c r="AS54" s="675">
        <f>+'Anexo 5.2 A'!BM50</f>
        <v>0</v>
      </c>
      <c r="AT54" s="753">
        <f t="shared" si="192"/>
        <v>0.51356988022504868</v>
      </c>
      <c r="AU54" s="753" t="e">
        <f t="shared" si="193"/>
        <v>#DIV/0!</v>
      </c>
      <c r="AV54" s="753" t="e">
        <f t="shared" si="194"/>
        <v>#DIV/0!</v>
      </c>
      <c r="AW54" s="753" t="e">
        <f t="shared" si="195"/>
        <v>#DIV/0!</v>
      </c>
      <c r="AX54" s="676">
        <f t="shared" si="177"/>
        <v>7116226336.1000004</v>
      </c>
      <c r="AY54" s="676">
        <f t="shared" si="211"/>
        <v>0</v>
      </c>
      <c r="AZ54" s="676">
        <f t="shared" si="212"/>
        <v>0</v>
      </c>
      <c r="BA54" s="676">
        <f t="shared" si="213"/>
        <v>0</v>
      </c>
      <c r="BB54" s="550"/>
      <c r="BC54" s="550"/>
      <c r="BD54" s="550"/>
      <c r="BE54" s="550"/>
      <c r="BF54" s="737">
        <f t="shared" si="23"/>
        <v>0</v>
      </c>
      <c r="BG54" s="540"/>
      <c r="BH54" s="540"/>
      <c r="BI54" s="547"/>
      <c r="BJ54" s="730">
        <f t="shared" si="24"/>
        <v>14669028272.450001</v>
      </c>
      <c r="BK54" s="544">
        <f t="shared" si="205"/>
        <v>14649797429</v>
      </c>
      <c r="BL54" s="553">
        <f t="shared" si="206"/>
        <v>0.99868901722098946</v>
      </c>
      <c r="BM54" s="544">
        <f t="shared" si="207"/>
        <v>7533571092.8999996</v>
      </c>
      <c r="BN54" s="553">
        <f t="shared" si="208"/>
        <v>0.51356988022504868</v>
      </c>
      <c r="BO54" s="548"/>
      <c r="BP54" s="552" t="s">
        <v>2352</v>
      </c>
      <c r="BQ54" s="552" t="s">
        <v>2338</v>
      </c>
      <c r="BR54" s="761" t="s">
        <v>2325</v>
      </c>
    </row>
    <row r="55" spans="1:70" s="633" customFormat="1" ht="53.25" customHeight="1" x14ac:dyDescent="0.25">
      <c r="A55" s="614" t="s">
        <v>1971</v>
      </c>
      <c r="B55" s="614"/>
      <c r="C55" s="615"/>
      <c r="D55" s="615"/>
      <c r="E55" s="616"/>
      <c r="F55" s="616"/>
      <c r="G55" s="616"/>
      <c r="H55" s="616"/>
      <c r="I55" s="616"/>
      <c r="J55" s="616"/>
      <c r="K55" s="616"/>
      <c r="L55" s="616"/>
      <c r="M55" s="616"/>
      <c r="N55" s="616"/>
      <c r="O55" s="616"/>
      <c r="P55" s="617">
        <f>+(P56*Z56)</f>
        <v>0.97875000000000012</v>
      </c>
      <c r="Q55" s="617">
        <f>+(Q56*AA56)</f>
        <v>0</v>
      </c>
      <c r="R55" s="617">
        <f>+(R56*AB56)</f>
        <v>0</v>
      </c>
      <c r="S55" s="617">
        <f>+(S56*AC56)</f>
        <v>0</v>
      </c>
      <c r="T55" s="661"/>
      <c r="U55" s="617"/>
      <c r="V55" s="617">
        <f>+(V56*BC56)</f>
        <v>0</v>
      </c>
      <c r="W55" s="617">
        <f>+(W56*BD56)</f>
        <v>0</v>
      </c>
      <c r="X55" s="720">
        <f>+(X56*Y56)</f>
        <v>0.19366666666666665</v>
      </c>
      <c r="Y55" s="621">
        <v>0.2</v>
      </c>
      <c r="Z55" s="621">
        <v>0.2</v>
      </c>
      <c r="AA55" s="621"/>
      <c r="AB55" s="621"/>
      <c r="AC55" s="621"/>
      <c r="AD55" s="665">
        <f>+AD56</f>
        <v>51727520792.610001</v>
      </c>
      <c r="AE55" s="665">
        <f t="shared" ref="AE55:AG55" si="214">+AE56</f>
        <v>0</v>
      </c>
      <c r="AF55" s="665">
        <f t="shared" si="214"/>
        <v>0</v>
      </c>
      <c r="AG55" s="665">
        <f t="shared" si="214"/>
        <v>0</v>
      </c>
      <c r="AH55" s="665">
        <f>+AH56</f>
        <v>51620364355.660004</v>
      </c>
      <c r="AI55" s="665">
        <f t="shared" ref="AI55:AK55" si="215">+AI56</f>
        <v>0</v>
      </c>
      <c r="AJ55" s="665">
        <f t="shared" si="215"/>
        <v>0</v>
      </c>
      <c r="AK55" s="665">
        <f t="shared" si="215"/>
        <v>0</v>
      </c>
      <c r="AL55" s="622">
        <f t="shared" si="12"/>
        <v>0.99792844436949502</v>
      </c>
      <c r="AM55" s="622" t="e">
        <f t="shared" si="12"/>
        <v>#DIV/0!</v>
      </c>
      <c r="AN55" s="622" t="e">
        <f t="shared" si="12"/>
        <v>#DIV/0!</v>
      </c>
      <c r="AO55" s="622" t="e">
        <f t="shared" si="12"/>
        <v>#DIV/0!</v>
      </c>
      <c r="AP55" s="665">
        <f t="shared" ref="AP55" si="216">+AP56</f>
        <v>29156047776.289997</v>
      </c>
      <c r="AQ55" s="665">
        <f t="shared" ref="AQ55" si="217">+AQ56</f>
        <v>0</v>
      </c>
      <c r="AR55" s="665">
        <f t="shared" ref="AR55" si="218">+AR56</f>
        <v>0</v>
      </c>
      <c r="AS55" s="665">
        <f t="shared" ref="AS55" si="219">+AS56</f>
        <v>0</v>
      </c>
      <c r="AT55" s="622">
        <f t="shared" si="17"/>
        <v>0.56364672672376259</v>
      </c>
      <c r="AU55" s="622" t="e">
        <f t="shared" si="17"/>
        <v>#DIV/0!</v>
      </c>
      <c r="AV55" s="622" t="e">
        <f t="shared" si="17"/>
        <v>#DIV/0!</v>
      </c>
      <c r="AW55" s="622" t="e">
        <f t="shared" si="17"/>
        <v>#DIV/0!</v>
      </c>
      <c r="AX55" s="665">
        <f t="shared" ref="AX55:BE55" si="220">+AX56</f>
        <v>22464316579.370003</v>
      </c>
      <c r="AY55" s="665">
        <f t="shared" si="220"/>
        <v>0</v>
      </c>
      <c r="AZ55" s="665">
        <f t="shared" si="220"/>
        <v>0</v>
      </c>
      <c r="BA55" s="665">
        <f t="shared" si="220"/>
        <v>0</v>
      </c>
      <c r="BB55" s="665">
        <f t="shared" si="220"/>
        <v>0</v>
      </c>
      <c r="BC55" s="665">
        <f t="shared" si="220"/>
        <v>0</v>
      </c>
      <c r="BD55" s="665">
        <f t="shared" si="220"/>
        <v>0</v>
      </c>
      <c r="BE55" s="665">
        <f t="shared" si="220"/>
        <v>0</v>
      </c>
      <c r="BF55" s="735">
        <f t="shared" si="23"/>
        <v>0</v>
      </c>
      <c r="BG55" s="735" t="e">
        <f t="shared" si="23"/>
        <v>#DIV/0!</v>
      </c>
      <c r="BH55" s="735" t="e">
        <f t="shared" si="23"/>
        <v>#DIV/0!</v>
      </c>
      <c r="BI55" s="621" t="e">
        <f t="shared" si="23"/>
        <v>#DIV/0!</v>
      </c>
      <c r="BJ55" s="620">
        <f t="shared" si="24"/>
        <v>51727520792.610001</v>
      </c>
      <c r="BK55" s="620">
        <f t="shared" si="25"/>
        <v>51620364355.660004</v>
      </c>
      <c r="BL55" s="621">
        <f t="shared" si="26"/>
        <v>0.99792844436949502</v>
      </c>
      <c r="BM55" s="620">
        <f t="shared" si="27"/>
        <v>29156047776.289997</v>
      </c>
      <c r="BN55" s="621">
        <f t="shared" si="10"/>
        <v>0.56364672672376259</v>
      </c>
      <c r="BO55" s="615"/>
      <c r="BP55" s="615"/>
      <c r="BQ55" s="615"/>
      <c r="BR55" s="615"/>
    </row>
    <row r="56" spans="1:70" ht="53.25" customHeight="1" x14ac:dyDescent="0.25">
      <c r="A56" s="521" t="s">
        <v>1972</v>
      </c>
      <c r="B56" s="521"/>
      <c r="C56" s="531"/>
      <c r="D56" s="531"/>
      <c r="E56" s="524"/>
      <c r="F56" s="524"/>
      <c r="G56" s="524"/>
      <c r="H56" s="524"/>
      <c r="I56" s="524"/>
      <c r="J56" s="524"/>
      <c r="K56" s="524"/>
      <c r="L56" s="524"/>
      <c r="M56" s="524"/>
      <c r="N56" s="524"/>
      <c r="O56" s="524"/>
      <c r="P56" s="626">
        <f>+(P57*Z57)+(P61*Z61)+(P67*Z67)</f>
        <v>0.97875000000000012</v>
      </c>
      <c r="Q56" s="525">
        <f>+(Q57*AA57)+(Q61*AA61)+(Q67*AA67)</f>
        <v>0</v>
      </c>
      <c r="R56" s="525">
        <f>+(R57*AB57)+(R61*AB61)+(R67*AB67)</f>
        <v>0</v>
      </c>
      <c r="S56" s="525">
        <f>+(S57*AC57)+(S61*AC61)+(S67*AC67)</f>
        <v>0</v>
      </c>
      <c r="T56" s="521"/>
      <c r="U56" s="528"/>
      <c r="V56" s="528"/>
      <c r="W56" s="530"/>
      <c r="X56" s="532">
        <f>+(X57*Y57)+(X61*Y61)+(X67*Y67)</f>
        <v>0.19366666666666665</v>
      </c>
      <c r="Y56" s="529">
        <v>1</v>
      </c>
      <c r="Z56" s="529">
        <v>1</v>
      </c>
      <c r="AA56" s="529"/>
      <c r="AB56" s="529"/>
      <c r="AC56" s="529"/>
      <c r="AD56" s="666">
        <f t="shared" ref="AD56" si="221">+AD57+AD61+AD67</f>
        <v>51727520792.610001</v>
      </c>
      <c r="AE56" s="666">
        <f t="shared" ref="AE56:AH56" si="222">+AE57+AE61+AE67</f>
        <v>0</v>
      </c>
      <c r="AF56" s="666">
        <f t="shared" si="222"/>
        <v>0</v>
      </c>
      <c r="AG56" s="666">
        <f t="shared" si="222"/>
        <v>0</v>
      </c>
      <c r="AH56" s="666">
        <f t="shared" si="222"/>
        <v>51620364355.660004</v>
      </c>
      <c r="AI56" s="666">
        <f t="shared" ref="AI56:AK56" si="223">+AI57+AI61+AI67</f>
        <v>0</v>
      </c>
      <c r="AJ56" s="666">
        <f t="shared" si="223"/>
        <v>0</v>
      </c>
      <c r="AK56" s="666">
        <f t="shared" si="223"/>
        <v>0</v>
      </c>
      <c r="AL56" s="532">
        <f t="shared" si="12"/>
        <v>0.99792844436949502</v>
      </c>
      <c r="AM56" s="532" t="e">
        <f t="shared" si="12"/>
        <v>#DIV/0!</v>
      </c>
      <c r="AN56" s="532" t="e">
        <f t="shared" si="12"/>
        <v>#DIV/0!</v>
      </c>
      <c r="AO56" s="532" t="e">
        <f t="shared" si="12"/>
        <v>#DIV/0!</v>
      </c>
      <c r="AP56" s="666">
        <f t="shared" ref="AP56:AS56" si="224">+AP57+AP61+AP67</f>
        <v>29156047776.289997</v>
      </c>
      <c r="AQ56" s="666">
        <f t="shared" si="224"/>
        <v>0</v>
      </c>
      <c r="AR56" s="666">
        <f t="shared" si="224"/>
        <v>0</v>
      </c>
      <c r="AS56" s="666">
        <f t="shared" si="224"/>
        <v>0</v>
      </c>
      <c r="AT56" s="532">
        <f t="shared" si="17"/>
        <v>0.56364672672376259</v>
      </c>
      <c r="AU56" s="532" t="e">
        <f t="shared" si="17"/>
        <v>#DIV/0!</v>
      </c>
      <c r="AV56" s="532" t="e">
        <f t="shared" si="17"/>
        <v>#DIV/0!</v>
      </c>
      <c r="AW56" s="532" t="e">
        <f t="shared" si="17"/>
        <v>#DIV/0!</v>
      </c>
      <c r="AX56" s="666">
        <f t="shared" ref="AX56:BA56" si="225">+AX57+AX61+AX67</f>
        <v>22464316579.370003</v>
      </c>
      <c r="AY56" s="666">
        <f t="shared" si="225"/>
        <v>0</v>
      </c>
      <c r="AZ56" s="666">
        <f t="shared" si="225"/>
        <v>0</v>
      </c>
      <c r="BA56" s="666">
        <f t="shared" si="225"/>
        <v>0</v>
      </c>
      <c r="BB56" s="666">
        <f t="shared" ref="BB56:BE56" si="226">+BB57+BB61+BB67</f>
        <v>0</v>
      </c>
      <c r="BC56" s="666">
        <f t="shared" si="226"/>
        <v>0</v>
      </c>
      <c r="BD56" s="666">
        <f t="shared" si="226"/>
        <v>0</v>
      </c>
      <c r="BE56" s="666">
        <f t="shared" si="226"/>
        <v>0</v>
      </c>
      <c r="BF56" s="732">
        <f t="shared" si="23"/>
        <v>0</v>
      </c>
      <c r="BG56" s="732" t="e">
        <f t="shared" si="23"/>
        <v>#DIV/0!</v>
      </c>
      <c r="BH56" s="732" t="e">
        <f t="shared" si="23"/>
        <v>#DIV/0!</v>
      </c>
      <c r="BI56" s="529" t="e">
        <f t="shared" si="23"/>
        <v>#DIV/0!</v>
      </c>
      <c r="BJ56" s="530">
        <f t="shared" si="24"/>
        <v>51727520792.610001</v>
      </c>
      <c r="BK56" s="530">
        <f t="shared" si="25"/>
        <v>51620364355.660004</v>
      </c>
      <c r="BL56" s="529">
        <f t="shared" si="26"/>
        <v>0.99792844436949502</v>
      </c>
      <c r="BM56" s="530">
        <f t="shared" si="27"/>
        <v>29156047776.289997</v>
      </c>
      <c r="BN56" s="529">
        <f t="shared" si="10"/>
        <v>0.56364672672376259</v>
      </c>
      <c r="BO56" s="531"/>
      <c r="BP56" s="531"/>
      <c r="BQ56" s="531"/>
      <c r="BR56" s="531"/>
    </row>
    <row r="57" spans="1:70" ht="51" x14ac:dyDescent="0.25">
      <c r="A57" s="533" t="s">
        <v>1973</v>
      </c>
      <c r="B57" s="533"/>
      <c r="C57" s="534"/>
      <c r="D57" s="534"/>
      <c r="E57" s="535"/>
      <c r="F57" s="535"/>
      <c r="G57" s="535"/>
      <c r="H57" s="535"/>
      <c r="I57" s="535"/>
      <c r="J57" s="535"/>
      <c r="K57" s="535"/>
      <c r="L57" s="535"/>
      <c r="M57" s="535"/>
      <c r="N57" s="535"/>
      <c r="O57" s="535"/>
      <c r="P57" s="571">
        <f>+SUMPRODUCT(P58:P60,Z58:Z60)</f>
        <v>1</v>
      </c>
      <c r="Q57" s="571">
        <f>+SUMPRODUCT(Q58:Q60,AA58:AA60)</f>
        <v>0</v>
      </c>
      <c r="R57" s="571">
        <f>+SUMPRODUCT(R58:R60,AB58:AB60)</f>
        <v>0</v>
      </c>
      <c r="S57" s="571">
        <f>+SUMPRODUCT(S58:S60,AC58:AC60)</f>
        <v>0</v>
      </c>
      <c r="T57" s="533"/>
      <c r="U57" s="512"/>
      <c r="V57" s="512"/>
      <c r="W57" s="537"/>
      <c r="X57" s="719">
        <f>+SUMPRODUCT(X58:X60,Y58:Y60)</f>
        <v>0.20499999999999999</v>
      </c>
      <c r="Y57" s="536">
        <v>0.2</v>
      </c>
      <c r="Z57" s="536">
        <v>0.2</v>
      </c>
      <c r="AA57" s="536"/>
      <c r="AB57" s="536"/>
      <c r="AC57" s="536"/>
      <c r="AD57" s="667">
        <f t="shared" ref="AD57" si="227">SUM(AD58:AD60)</f>
        <v>346946019.30000001</v>
      </c>
      <c r="AE57" s="667">
        <f t="shared" ref="AE57:AH57" si="228">SUM(AE58:AE60)</f>
        <v>0</v>
      </c>
      <c r="AF57" s="667">
        <f t="shared" si="228"/>
        <v>0</v>
      </c>
      <c r="AG57" s="667">
        <f t="shared" si="228"/>
        <v>0</v>
      </c>
      <c r="AH57" s="667">
        <f t="shared" si="228"/>
        <v>265766824</v>
      </c>
      <c r="AI57" s="667">
        <f t="shared" ref="AI57:AK57" si="229">SUM(AI58:AI60)</f>
        <v>0</v>
      </c>
      <c r="AJ57" s="667">
        <f t="shared" si="229"/>
        <v>0</v>
      </c>
      <c r="AK57" s="667">
        <f t="shared" si="229"/>
        <v>0</v>
      </c>
      <c r="AL57" s="538">
        <f t="shared" si="12"/>
        <v>0.7660177930163673</v>
      </c>
      <c r="AM57" s="538" t="e">
        <f t="shared" si="12"/>
        <v>#DIV/0!</v>
      </c>
      <c r="AN57" s="538" t="e">
        <f t="shared" si="12"/>
        <v>#DIV/0!</v>
      </c>
      <c r="AO57" s="538" t="e">
        <f t="shared" si="12"/>
        <v>#DIV/0!</v>
      </c>
      <c r="AP57" s="667">
        <f t="shared" ref="AP57:AS57" si="230">SUM(AP58:AP60)</f>
        <v>265766824</v>
      </c>
      <c r="AQ57" s="667">
        <f t="shared" si="230"/>
        <v>0</v>
      </c>
      <c r="AR57" s="667">
        <f t="shared" si="230"/>
        <v>0</v>
      </c>
      <c r="AS57" s="667">
        <f t="shared" si="230"/>
        <v>0</v>
      </c>
      <c r="AT57" s="538">
        <f t="shared" si="17"/>
        <v>0.7660177930163673</v>
      </c>
      <c r="AU57" s="538" t="e">
        <f t="shared" si="17"/>
        <v>#DIV/0!</v>
      </c>
      <c r="AV57" s="538" t="e">
        <f t="shared" si="17"/>
        <v>#DIV/0!</v>
      </c>
      <c r="AW57" s="538" t="e">
        <f t="shared" si="17"/>
        <v>#DIV/0!</v>
      </c>
      <c r="AX57" s="667">
        <f t="shared" ref="AX57:BA57" si="231">SUM(AX58:AX60)</f>
        <v>0</v>
      </c>
      <c r="AY57" s="667">
        <f t="shared" si="231"/>
        <v>0</v>
      </c>
      <c r="AZ57" s="667">
        <f t="shared" si="231"/>
        <v>0</v>
      </c>
      <c r="BA57" s="667">
        <f t="shared" si="231"/>
        <v>0</v>
      </c>
      <c r="BB57" s="667">
        <f t="shared" ref="BB57:BE57" si="232">SUM(BB58:BB60)</f>
        <v>0</v>
      </c>
      <c r="BC57" s="667">
        <f t="shared" si="232"/>
        <v>0</v>
      </c>
      <c r="BD57" s="667">
        <f t="shared" si="232"/>
        <v>0</v>
      </c>
      <c r="BE57" s="667">
        <f t="shared" si="232"/>
        <v>0</v>
      </c>
      <c r="BF57" s="733" t="e">
        <f t="shared" si="23"/>
        <v>#DIV/0!</v>
      </c>
      <c r="BG57" s="733" t="e">
        <f t="shared" si="23"/>
        <v>#DIV/0!</v>
      </c>
      <c r="BH57" s="733" t="e">
        <f t="shared" si="23"/>
        <v>#DIV/0!</v>
      </c>
      <c r="BI57" s="536" t="e">
        <f t="shared" si="23"/>
        <v>#DIV/0!</v>
      </c>
      <c r="BJ57" s="537">
        <f t="shared" si="24"/>
        <v>346946019.30000001</v>
      </c>
      <c r="BK57" s="537">
        <f t="shared" si="25"/>
        <v>265766824</v>
      </c>
      <c r="BL57" s="536">
        <f t="shared" si="26"/>
        <v>0.7660177930163673</v>
      </c>
      <c r="BM57" s="537">
        <f t="shared" si="27"/>
        <v>265766824</v>
      </c>
      <c r="BN57" s="536">
        <f t="shared" si="10"/>
        <v>0.7660177930163673</v>
      </c>
      <c r="BO57" s="534"/>
      <c r="BP57" s="534"/>
      <c r="BQ57" s="534"/>
      <c r="BR57" s="534"/>
    </row>
    <row r="58" spans="1:70" ht="73.5" customHeight="1" x14ac:dyDescent="0.25">
      <c r="A58" s="539" t="s">
        <v>1974</v>
      </c>
      <c r="B58" s="539" t="s">
        <v>2060</v>
      </c>
      <c r="C58" s="540" t="s">
        <v>2093</v>
      </c>
      <c r="D58" s="540">
        <v>2</v>
      </c>
      <c r="E58" s="740">
        <v>2</v>
      </c>
      <c r="F58" s="740">
        <v>2</v>
      </c>
      <c r="G58" s="741">
        <v>2</v>
      </c>
      <c r="H58" s="740">
        <v>2</v>
      </c>
      <c r="I58" s="541">
        <v>0</v>
      </c>
      <c r="J58" s="541"/>
      <c r="K58" s="541"/>
      <c r="L58" s="541"/>
      <c r="M58" s="542"/>
      <c r="N58" s="542"/>
      <c r="O58" s="542"/>
      <c r="P58" s="562">
        <f t="shared" ref="P58:S60" si="233">IF((H58+L58)/D58&gt;=100%,100%,(H58+L58)/D58)</f>
        <v>1</v>
      </c>
      <c r="Q58" s="562">
        <f t="shared" si="233"/>
        <v>0</v>
      </c>
      <c r="R58" s="562">
        <f t="shared" si="233"/>
        <v>0</v>
      </c>
      <c r="S58" s="562">
        <f t="shared" si="233"/>
        <v>0</v>
      </c>
      <c r="T58" s="550" t="s">
        <v>2137</v>
      </c>
      <c r="U58" s="629">
        <v>45657</v>
      </c>
      <c r="V58" s="544">
        <f>SUM(D58:G58)</f>
        <v>8</v>
      </c>
      <c r="W58" s="544">
        <f>SUM(H58:N58)</f>
        <v>2</v>
      </c>
      <c r="X58" s="549">
        <f t="shared" ref="X58:X60" si="234">IF(W58/V58&gt;=100%,100%,W58/V58)</f>
        <v>0.25</v>
      </c>
      <c r="Y58" s="546">
        <v>0.7</v>
      </c>
      <c r="Z58" s="546">
        <v>0.7</v>
      </c>
      <c r="AA58" s="546"/>
      <c r="AB58" s="547"/>
      <c r="AC58" s="547"/>
      <c r="AD58" s="668">
        <f>+'Anexo 5.2 A'!BG54</f>
        <v>173473009.65000001</v>
      </c>
      <c r="AE58" s="730"/>
      <c r="AF58" s="730"/>
      <c r="AG58" s="730"/>
      <c r="AH58" s="675">
        <f>+'Anexo 5.2 A'!BH54</f>
        <v>132883412</v>
      </c>
      <c r="AI58" s="728"/>
      <c r="AJ58" s="743"/>
      <c r="AK58" s="743"/>
      <c r="AL58" s="549">
        <f t="shared" si="12"/>
        <v>0.7660177930163673</v>
      </c>
      <c r="AM58" s="549" t="e">
        <f t="shared" si="12"/>
        <v>#DIV/0!</v>
      </c>
      <c r="AN58" s="549" t="e">
        <f t="shared" si="12"/>
        <v>#DIV/0!</v>
      </c>
      <c r="AO58" s="549" t="e">
        <f t="shared" si="12"/>
        <v>#DIV/0!</v>
      </c>
      <c r="AP58" s="675">
        <f>+'Anexo 5.2 A'!BJ54</f>
        <v>132883412</v>
      </c>
      <c r="AQ58" s="675">
        <f>+'Anexo 5.2 A'!BK54</f>
        <v>0</v>
      </c>
      <c r="AR58" s="675">
        <f>+'Anexo 5.2 A'!BL54</f>
        <v>0</v>
      </c>
      <c r="AS58" s="675">
        <f>+'Anexo 5.2 A'!BM54</f>
        <v>0</v>
      </c>
      <c r="AT58" s="549">
        <f t="shared" si="17"/>
        <v>0.7660177930163673</v>
      </c>
      <c r="AU58" s="549" t="e">
        <f t="shared" si="17"/>
        <v>#DIV/0!</v>
      </c>
      <c r="AV58" s="549" t="e">
        <f t="shared" si="17"/>
        <v>#DIV/0!</v>
      </c>
      <c r="AW58" s="549" t="e">
        <f t="shared" si="17"/>
        <v>#DIV/0!</v>
      </c>
      <c r="AX58" s="676">
        <f t="shared" ref="AX58:AX70" si="235">+AH58-AP58</f>
        <v>0</v>
      </c>
      <c r="AY58" s="676">
        <f t="shared" ref="AY58:AY60" si="236">+AI58-AQ58</f>
        <v>0</v>
      </c>
      <c r="AZ58" s="676">
        <f t="shared" ref="AZ58:AZ60" si="237">+AJ58-AR58</f>
        <v>0</v>
      </c>
      <c r="BA58" s="676">
        <f t="shared" ref="BA58:BA60" si="238">+AK58-AS58</f>
        <v>0</v>
      </c>
      <c r="BB58" s="551"/>
      <c r="BC58" s="551"/>
      <c r="BD58" s="551"/>
      <c r="BE58" s="551"/>
      <c r="BF58" s="737" t="e">
        <f t="shared" si="23"/>
        <v>#DIV/0!</v>
      </c>
      <c r="BG58" s="737" t="e">
        <f t="shared" si="23"/>
        <v>#DIV/0!</v>
      </c>
      <c r="BH58" s="737" t="e">
        <f t="shared" si="23"/>
        <v>#DIV/0!</v>
      </c>
      <c r="BI58" s="547" t="e">
        <f t="shared" si="23"/>
        <v>#DIV/0!</v>
      </c>
      <c r="BJ58" s="730">
        <f t="shared" si="24"/>
        <v>173473009.65000001</v>
      </c>
      <c r="BK58" s="544">
        <f t="shared" si="25"/>
        <v>132883412</v>
      </c>
      <c r="BL58" s="553">
        <f t="shared" si="26"/>
        <v>0.7660177930163673</v>
      </c>
      <c r="BM58" s="544">
        <f t="shared" si="27"/>
        <v>132883412</v>
      </c>
      <c r="BN58" s="553">
        <f t="shared" si="10"/>
        <v>0.7660177930163673</v>
      </c>
      <c r="BO58" s="548"/>
      <c r="BP58" s="552" t="s">
        <v>2353</v>
      </c>
      <c r="BQ58" s="552" t="s">
        <v>2341</v>
      </c>
      <c r="BR58" s="554" t="s">
        <v>2325</v>
      </c>
    </row>
    <row r="59" spans="1:70" ht="71.25" customHeight="1" x14ac:dyDescent="0.25">
      <c r="A59" s="539" t="s">
        <v>1975</v>
      </c>
      <c r="B59" s="539" t="s">
        <v>2061</v>
      </c>
      <c r="C59" s="540" t="s">
        <v>2093</v>
      </c>
      <c r="D59" s="540">
        <v>1</v>
      </c>
      <c r="E59" s="740">
        <v>4</v>
      </c>
      <c r="F59" s="740">
        <v>4</v>
      </c>
      <c r="G59" s="741">
        <v>1</v>
      </c>
      <c r="H59" s="757">
        <v>1</v>
      </c>
      <c r="I59" s="541">
        <v>0</v>
      </c>
      <c r="J59" s="541"/>
      <c r="K59" s="541"/>
      <c r="L59" s="541"/>
      <c r="M59" s="542"/>
      <c r="N59" s="542"/>
      <c r="O59" s="542"/>
      <c r="P59" s="562">
        <f t="shared" si="233"/>
        <v>1</v>
      </c>
      <c r="Q59" s="562">
        <f t="shared" si="233"/>
        <v>0</v>
      </c>
      <c r="R59" s="562">
        <f t="shared" si="233"/>
        <v>0</v>
      </c>
      <c r="S59" s="562">
        <f t="shared" si="233"/>
        <v>0</v>
      </c>
      <c r="T59" s="550" t="s">
        <v>2109</v>
      </c>
      <c r="U59" s="629">
        <v>45657</v>
      </c>
      <c r="V59" s="544">
        <f>SUM(D59:G59)</f>
        <v>10</v>
      </c>
      <c r="W59" s="544">
        <f>SUM(H59:N59)</f>
        <v>1</v>
      </c>
      <c r="X59" s="549">
        <f t="shared" si="234"/>
        <v>0.1</v>
      </c>
      <c r="Y59" s="546">
        <v>0.3</v>
      </c>
      <c r="Z59" s="546">
        <v>0.3</v>
      </c>
      <c r="AA59" s="546"/>
      <c r="AB59" s="547"/>
      <c r="AC59" s="547"/>
      <c r="AD59" s="668">
        <f>+'Anexo 5.2 A'!BG55</f>
        <v>173473009.65000001</v>
      </c>
      <c r="AE59" s="730"/>
      <c r="AF59" s="730"/>
      <c r="AG59" s="730"/>
      <c r="AH59" s="675">
        <f>+'Anexo 5.2 A'!BH55</f>
        <v>132883412</v>
      </c>
      <c r="AI59" s="728"/>
      <c r="AJ59" s="743"/>
      <c r="AK59" s="743"/>
      <c r="AL59" s="549">
        <f t="shared" si="12"/>
        <v>0.7660177930163673</v>
      </c>
      <c r="AM59" s="549" t="e">
        <f t="shared" si="12"/>
        <v>#DIV/0!</v>
      </c>
      <c r="AN59" s="549" t="e">
        <f t="shared" si="12"/>
        <v>#DIV/0!</v>
      </c>
      <c r="AO59" s="549" t="e">
        <f t="shared" si="12"/>
        <v>#DIV/0!</v>
      </c>
      <c r="AP59" s="675">
        <f>+'Anexo 5.2 A'!BJ55</f>
        <v>132883412</v>
      </c>
      <c r="AQ59" s="675">
        <f>+'Anexo 5.2 A'!BK55</f>
        <v>0</v>
      </c>
      <c r="AR59" s="675">
        <f>+'Anexo 5.2 A'!BL55</f>
        <v>0</v>
      </c>
      <c r="AS59" s="675">
        <f>+'Anexo 5.2 A'!BM55</f>
        <v>0</v>
      </c>
      <c r="AT59" s="549">
        <f t="shared" si="17"/>
        <v>0.7660177930163673</v>
      </c>
      <c r="AU59" s="549" t="e">
        <f t="shared" si="17"/>
        <v>#DIV/0!</v>
      </c>
      <c r="AV59" s="549" t="e">
        <f t="shared" si="17"/>
        <v>#DIV/0!</v>
      </c>
      <c r="AW59" s="549" t="e">
        <f t="shared" si="17"/>
        <v>#DIV/0!</v>
      </c>
      <c r="AX59" s="676">
        <f t="shared" si="235"/>
        <v>0</v>
      </c>
      <c r="AY59" s="676">
        <f t="shared" si="236"/>
        <v>0</v>
      </c>
      <c r="AZ59" s="676">
        <f t="shared" si="237"/>
        <v>0</v>
      </c>
      <c r="BA59" s="676">
        <f t="shared" si="238"/>
        <v>0</v>
      </c>
      <c r="BB59" s="551"/>
      <c r="BC59" s="551"/>
      <c r="BD59" s="551"/>
      <c r="BE59" s="551"/>
      <c r="BF59" s="737" t="e">
        <f t="shared" si="23"/>
        <v>#DIV/0!</v>
      </c>
      <c r="BG59" s="737" t="e">
        <f t="shared" si="23"/>
        <v>#DIV/0!</v>
      </c>
      <c r="BH59" s="737" t="e">
        <f t="shared" si="23"/>
        <v>#DIV/0!</v>
      </c>
      <c r="BI59" s="547" t="e">
        <f t="shared" si="23"/>
        <v>#DIV/0!</v>
      </c>
      <c r="BJ59" s="730">
        <f t="shared" si="24"/>
        <v>173473009.65000001</v>
      </c>
      <c r="BK59" s="544">
        <f t="shared" si="25"/>
        <v>132883412</v>
      </c>
      <c r="BL59" s="553">
        <f t="shared" si="26"/>
        <v>0.7660177930163673</v>
      </c>
      <c r="BM59" s="544">
        <f t="shared" si="27"/>
        <v>132883412</v>
      </c>
      <c r="BN59" s="553">
        <f t="shared" si="10"/>
        <v>0.7660177930163673</v>
      </c>
      <c r="BO59" s="548"/>
      <c r="BP59" s="552" t="s">
        <v>2353</v>
      </c>
      <c r="BQ59" s="552" t="s">
        <v>2341</v>
      </c>
      <c r="BR59" s="761" t="s">
        <v>2325</v>
      </c>
    </row>
    <row r="60" spans="1:70" ht="63.75" customHeight="1" x14ac:dyDescent="0.25">
      <c r="A60" s="539" t="s">
        <v>1976</v>
      </c>
      <c r="B60" s="539" t="s">
        <v>2062</v>
      </c>
      <c r="C60" s="540" t="s">
        <v>2093</v>
      </c>
      <c r="D60" s="540">
        <v>0</v>
      </c>
      <c r="E60" s="740">
        <v>1</v>
      </c>
      <c r="F60" s="740">
        <v>1</v>
      </c>
      <c r="G60" s="741">
        <v>1</v>
      </c>
      <c r="H60" s="740">
        <v>0</v>
      </c>
      <c r="I60" s="541">
        <v>0</v>
      </c>
      <c r="J60" s="541"/>
      <c r="K60" s="541"/>
      <c r="L60" s="541"/>
      <c r="M60" s="542"/>
      <c r="N60" s="542"/>
      <c r="O60" s="542"/>
      <c r="P60" s="546" t="s">
        <v>2142</v>
      </c>
      <c r="Q60" s="562">
        <f t="shared" si="233"/>
        <v>0</v>
      </c>
      <c r="R60" s="562">
        <f t="shared" si="233"/>
        <v>0</v>
      </c>
      <c r="S60" s="562">
        <f t="shared" si="233"/>
        <v>0</v>
      </c>
      <c r="T60" s="546" t="s">
        <v>2142</v>
      </c>
      <c r="U60" s="629">
        <v>45657</v>
      </c>
      <c r="V60" s="544">
        <f>SUM(D60:G60)</f>
        <v>3</v>
      </c>
      <c r="W60" s="544">
        <f>SUM(H60:N60)</f>
        <v>0</v>
      </c>
      <c r="X60" s="549">
        <f t="shared" si="234"/>
        <v>0</v>
      </c>
      <c r="Y60" s="546" t="s">
        <v>2142</v>
      </c>
      <c r="Z60" s="546" t="s">
        <v>2142</v>
      </c>
      <c r="AA60" s="546"/>
      <c r="AB60" s="547"/>
      <c r="AC60" s="547"/>
      <c r="AD60" s="668">
        <f>+'Anexo 5.2 A'!BG56</f>
        <v>0</v>
      </c>
      <c r="AE60" s="730"/>
      <c r="AF60" s="730"/>
      <c r="AG60" s="730"/>
      <c r="AH60" s="675">
        <f>+'Anexo 5.2 A'!BH56</f>
        <v>0</v>
      </c>
      <c r="AI60" s="728"/>
      <c r="AJ60" s="743"/>
      <c r="AK60" s="743"/>
      <c r="AL60" s="549" t="e">
        <f t="shared" si="12"/>
        <v>#DIV/0!</v>
      </c>
      <c r="AM60" s="549" t="e">
        <f t="shared" si="12"/>
        <v>#DIV/0!</v>
      </c>
      <c r="AN60" s="549" t="e">
        <f t="shared" si="12"/>
        <v>#DIV/0!</v>
      </c>
      <c r="AO60" s="549" t="e">
        <f t="shared" si="12"/>
        <v>#DIV/0!</v>
      </c>
      <c r="AP60" s="675">
        <f>+'Anexo 5.2 A'!BJ56</f>
        <v>0</v>
      </c>
      <c r="AQ60" s="675">
        <f>+'Anexo 5.2 A'!BK56</f>
        <v>0</v>
      </c>
      <c r="AR60" s="675">
        <f>+'Anexo 5.2 A'!BL56</f>
        <v>0</v>
      </c>
      <c r="AS60" s="675">
        <f>+'Anexo 5.2 A'!BM56</f>
        <v>0</v>
      </c>
      <c r="AT60" s="549" t="e">
        <f t="shared" si="17"/>
        <v>#DIV/0!</v>
      </c>
      <c r="AU60" s="549" t="e">
        <f t="shared" si="17"/>
        <v>#DIV/0!</v>
      </c>
      <c r="AV60" s="549" t="e">
        <f t="shared" si="17"/>
        <v>#DIV/0!</v>
      </c>
      <c r="AW60" s="549" t="e">
        <f t="shared" si="17"/>
        <v>#DIV/0!</v>
      </c>
      <c r="AX60" s="676">
        <f t="shared" si="235"/>
        <v>0</v>
      </c>
      <c r="AY60" s="676">
        <f t="shared" si="236"/>
        <v>0</v>
      </c>
      <c r="AZ60" s="676">
        <f t="shared" si="237"/>
        <v>0</v>
      </c>
      <c r="BA60" s="676">
        <f t="shared" si="238"/>
        <v>0</v>
      </c>
      <c r="BB60" s="551"/>
      <c r="BC60" s="551"/>
      <c r="BD60" s="551"/>
      <c r="BE60" s="551"/>
      <c r="BF60" s="737" t="e">
        <f t="shared" si="23"/>
        <v>#DIV/0!</v>
      </c>
      <c r="BG60" s="737" t="e">
        <f t="shared" si="23"/>
        <v>#DIV/0!</v>
      </c>
      <c r="BH60" s="737" t="e">
        <f t="shared" si="23"/>
        <v>#DIV/0!</v>
      </c>
      <c r="BI60" s="547" t="e">
        <f t="shared" si="23"/>
        <v>#DIV/0!</v>
      </c>
      <c r="BJ60" s="730">
        <f t="shared" si="24"/>
        <v>0</v>
      </c>
      <c r="BK60" s="544">
        <f t="shared" si="25"/>
        <v>0</v>
      </c>
      <c r="BL60" s="553" t="e">
        <f t="shared" si="26"/>
        <v>#DIV/0!</v>
      </c>
      <c r="BM60" s="544">
        <f t="shared" si="27"/>
        <v>0</v>
      </c>
      <c r="BN60" s="553" t="e">
        <f t="shared" si="10"/>
        <v>#DIV/0!</v>
      </c>
      <c r="BO60" s="548"/>
      <c r="BP60" s="552" t="s">
        <v>2353</v>
      </c>
      <c r="BQ60" s="552" t="s">
        <v>2341</v>
      </c>
      <c r="BR60" s="761" t="s">
        <v>2325</v>
      </c>
    </row>
    <row r="61" spans="1:70" ht="38.25" x14ac:dyDescent="0.25">
      <c r="A61" s="533" t="s">
        <v>1978</v>
      </c>
      <c r="B61" s="533"/>
      <c r="C61" s="534"/>
      <c r="D61" s="534"/>
      <c r="E61" s="535"/>
      <c r="F61" s="535"/>
      <c r="G61" s="535"/>
      <c r="H61" s="535"/>
      <c r="I61" s="535"/>
      <c r="J61" s="535"/>
      <c r="K61" s="535"/>
      <c r="L61" s="535"/>
      <c r="M61" s="535"/>
      <c r="N61" s="535"/>
      <c r="O61" s="535"/>
      <c r="P61" s="536">
        <f>+SUMPRODUCT(P62:P66,Z62:Z66)</f>
        <v>0.94687500000000002</v>
      </c>
      <c r="Q61" s="536">
        <f>+SUMPRODUCT(Q62:Q65,AA62:AA65)</f>
        <v>0</v>
      </c>
      <c r="R61" s="536">
        <f>+SUMPRODUCT(R62:R65,AB62:AB65)</f>
        <v>0</v>
      </c>
      <c r="S61" s="536">
        <f>+SUMPRODUCT(S62:S65,AC62:AC65)</f>
        <v>0</v>
      </c>
      <c r="T61" s="660"/>
      <c r="U61" s="512"/>
      <c r="V61" s="537"/>
      <c r="W61" s="537"/>
      <c r="X61" s="719">
        <f>+SUMPRODUCT(X62:X66,Y62:Y66)</f>
        <v>0.215</v>
      </c>
      <c r="Y61" s="536">
        <v>0.4</v>
      </c>
      <c r="Z61" s="536">
        <v>0.4</v>
      </c>
      <c r="AA61" s="536"/>
      <c r="AB61" s="536"/>
      <c r="AC61" s="536"/>
      <c r="AD61" s="667">
        <f>SUM(AD62:AD66)</f>
        <v>37078539006.309998</v>
      </c>
      <c r="AE61" s="667">
        <f t="shared" ref="AE61:AF61" si="239">SUM(AE62:AE66)</f>
        <v>0</v>
      </c>
      <c r="AF61" s="667">
        <f t="shared" si="239"/>
        <v>0</v>
      </c>
      <c r="AG61" s="667">
        <f>SUM(AG62:AG66)</f>
        <v>0</v>
      </c>
      <c r="AH61" s="667">
        <f>SUM(AH62:AH66)</f>
        <v>37053995526.660004</v>
      </c>
      <c r="AI61" s="667">
        <f t="shared" ref="AI61:AK61" si="240">SUM(AI62:AI66)</f>
        <v>0</v>
      </c>
      <c r="AJ61" s="667">
        <f t="shared" si="240"/>
        <v>0</v>
      </c>
      <c r="AK61" s="667">
        <f t="shared" si="240"/>
        <v>0</v>
      </c>
      <c r="AL61" s="538">
        <f t="shared" si="12"/>
        <v>0.99933806777969825</v>
      </c>
      <c r="AM61" s="538" t="e">
        <f t="shared" si="12"/>
        <v>#DIV/0!</v>
      </c>
      <c r="AN61" s="538" t="e">
        <f t="shared" si="12"/>
        <v>#DIV/0!</v>
      </c>
      <c r="AO61" s="538" t="e">
        <f t="shared" si="12"/>
        <v>#DIV/0!</v>
      </c>
      <c r="AP61" s="667">
        <f t="shared" ref="AP61" si="241">SUM(AP62:AP66)</f>
        <v>23491271652.489998</v>
      </c>
      <c r="AQ61" s="667">
        <f t="shared" ref="AQ61" si="242">SUM(AQ62:AQ66)</f>
        <v>0</v>
      </c>
      <c r="AR61" s="667">
        <f t="shared" ref="AR61" si="243">SUM(AR62:AR66)</f>
        <v>0</v>
      </c>
      <c r="AS61" s="667">
        <f t="shared" ref="AS61" si="244">SUM(AS62:AS66)</f>
        <v>0</v>
      </c>
      <c r="AT61" s="538">
        <f t="shared" si="17"/>
        <v>0.63355440322209755</v>
      </c>
      <c r="AU61" s="538" t="e">
        <f t="shared" si="17"/>
        <v>#DIV/0!</v>
      </c>
      <c r="AV61" s="538" t="e">
        <f t="shared" si="17"/>
        <v>#DIV/0!</v>
      </c>
      <c r="AW61" s="538" t="e">
        <f t="shared" si="17"/>
        <v>#DIV/0!</v>
      </c>
      <c r="AX61" s="667">
        <f>SUM(AX62:AX66)</f>
        <v>13562723874.17</v>
      </c>
      <c r="AY61" s="667">
        <f t="shared" ref="AY61:BA61" si="245">SUM(AY62:AY66)</f>
        <v>0</v>
      </c>
      <c r="AZ61" s="667">
        <f t="shared" si="245"/>
        <v>0</v>
      </c>
      <c r="BA61" s="667">
        <f t="shared" si="245"/>
        <v>0</v>
      </c>
      <c r="BB61" s="667">
        <f t="shared" ref="BB61" si="246">SUM(BB62:BB66)</f>
        <v>0</v>
      </c>
      <c r="BC61" s="667">
        <f t="shared" ref="BC61" si="247">SUM(BC62:BC66)</f>
        <v>0</v>
      </c>
      <c r="BD61" s="667">
        <f t="shared" ref="BD61" si="248">SUM(BD62:BD66)</f>
        <v>0</v>
      </c>
      <c r="BE61" s="667">
        <f t="shared" ref="BE61" si="249">SUM(BE62:BE66)</f>
        <v>0</v>
      </c>
      <c r="BF61" s="733">
        <f t="shared" si="23"/>
        <v>0</v>
      </c>
      <c r="BG61" s="733" t="e">
        <f t="shared" si="23"/>
        <v>#DIV/0!</v>
      </c>
      <c r="BH61" s="733" t="e">
        <f t="shared" si="23"/>
        <v>#DIV/0!</v>
      </c>
      <c r="BI61" s="536" t="e">
        <f t="shared" si="23"/>
        <v>#DIV/0!</v>
      </c>
      <c r="BJ61" s="537">
        <f t="shared" si="24"/>
        <v>37078539006.309998</v>
      </c>
      <c r="BK61" s="537">
        <f t="shared" si="25"/>
        <v>37053995526.660004</v>
      </c>
      <c r="BL61" s="536">
        <f t="shared" si="26"/>
        <v>0.99933806777969825</v>
      </c>
      <c r="BM61" s="537">
        <f t="shared" si="27"/>
        <v>23491271652.489998</v>
      </c>
      <c r="BN61" s="536">
        <f t="shared" si="10"/>
        <v>0.63355440322209755</v>
      </c>
      <c r="BO61" s="534"/>
      <c r="BP61" s="534"/>
      <c r="BQ61" s="534"/>
      <c r="BR61" s="534"/>
    </row>
    <row r="62" spans="1:70" ht="76.5" customHeight="1" x14ac:dyDescent="0.25">
      <c r="A62" s="539" t="s">
        <v>1977</v>
      </c>
      <c r="B62" s="539" t="s">
        <v>2063</v>
      </c>
      <c r="C62" s="540" t="s">
        <v>2093</v>
      </c>
      <c r="D62" s="540">
        <v>1</v>
      </c>
      <c r="E62" s="740">
        <v>1</v>
      </c>
      <c r="F62" s="740">
        <v>1</v>
      </c>
      <c r="G62" s="741">
        <v>1</v>
      </c>
      <c r="H62" s="740">
        <v>1</v>
      </c>
      <c r="I62" s="541"/>
      <c r="J62" s="541"/>
      <c r="K62" s="541"/>
      <c r="L62" s="541"/>
      <c r="M62" s="542"/>
      <c r="N62" s="542"/>
      <c r="O62" s="542"/>
      <c r="P62" s="562">
        <f t="shared" ref="P62:S66" si="250">IF((H62+L62)/D62&gt;=100%,100%,(H62+L62)/D62)</f>
        <v>1</v>
      </c>
      <c r="Q62" s="545">
        <f t="shared" si="250"/>
        <v>0</v>
      </c>
      <c r="R62" s="562">
        <f t="shared" si="250"/>
        <v>0</v>
      </c>
      <c r="S62" s="562">
        <f t="shared" si="250"/>
        <v>0</v>
      </c>
      <c r="T62" s="380" t="s">
        <v>2110</v>
      </c>
      <c r="U62" s="629">
        <v>45657</v>
      </c>
      <c r="V62" s="544">
        <f>SUM(D62:G62)</f>
        <v>4</v>
      </c>
      <c r="W62" s="544">
        <f t="shared" ref="W62:W70" si="251">SUM(H62:N62)</f>
        <v>1</v>
      </c>
      <c r="X62" s="549">
        <f t="shared" ref="X62:X66" si="252">IF(W62/V62&gt;=100%,100%,W62/V62)</f>
        <v>0.25</v>
      </c>
      <c r="Y62" s="546">
        <v>0.25</v>
      </c>
      <c r="Z62" s="546">
        <v>0.25</v>
      </c>
      <c r="AA62" s="546"/>
      <c r="AB62" s="547"/>
      <c r="AC62" s="547"/>
      <c r="AD62" s="668">
        <f>+'Anexo 5.2 A'!BG58</f>
        <v>180948233</v>
      </c>
      <c r="AE62" s="730"/>
      <c r="AF62" s="730"/>
      <c r="AG62" s="730"/>
      <c r="AH62" s="675">
        <f>+'Anexo 5.2 A'!BH58</f>
        <v>179548373</v>
      </c>
      <c r="AI62" s="728"/>
      <c r="AJ62" s="743"/>
      <c r="AK62" s="743"/>
      <c r="AL62" s="549">
        <f t="shared" si="12"/>
        <v>0.99226375424180024</v>
      </c>
      <c r="AM62" s="549" t="e">
        <f t="shared" si="12"/>
        <v>#DIV/0!</v>
      </c>
      <c r="AN62" s="549" t="e">
        <f t="shared" si="12"/>
        <v>#DIV/0!</v>
      </c>
      <c r="AO62" s="549" t="e">
        <f t="shared" ref="AO62:AO108" si="253">+AK62/AG62</f>
        <v>#DIV/0!</v>
      </c>
      <c r="AP62" s="675">
        <f>+'Anexo 5.2 A'!BJ58</f>
        <v>179548373</v>
      </c>
      <c r="AQ62" s="675">
        <f>+'Anexo 5.2 A'!BK58</f>
        <v>0</v>
      </c>
      <c r="AR62" s="675">
        <f>+'Anexo 5.2 A'!BL58</f>
        <v>0</v>
      </c>
      <c r="AS62" s="675">
        <f>+'Anexo 5.2 A'!BM58</f>
        <v>0</v>
      </c>
      <c r="AT62" s="549">
        <f t="shared" si="17"/>
        <v>0.99226375424180024</v>
      </c>
      <c r="AU62" s="549" t="e">
        <f t="shared" si="17"/>
        <v>#DIV/0!</v>
      </c>
      <c r="AV62" s="549" t="e">
        <f t="shared" si="17"/>
        <v>#DIV/0!</v>
      </c>
      <c r="AW62" s="549" t="e">
        <f t="shared" ref="AW62:AW108" si="254">+AS62/AG62</f>
        <v>#DIV/0!</v>
      </c>
      <c r="AX62" s="676">
        <f t="shared" si="235"/>
        <v>0</v>
      </c>
      <c r="AY62" s="676">
        <f t="shared" ref="AY62:AY66" si="255">+AI62-AQ62</f>
        <v>0</v>
      </c>
      <c r="AZ62" s="676">
        <f t="shared" ref="AZ62:AZ66" si="256">+AJ62-AR62</f>
        <v>0</v>
      </c>
      <c r="BA62" s="676">
        <f t="shared" ref="BA62:BA66" si="257">+AK62-AS62</f>
        <v>0</v>
      </c>
      <c r="BB62" s="551"/>
      <c r="BC62" s="551"/>
      <c r="BD62" s="551"/>
      <c r="BE62" s="551"/>
      <c r="BF62" s="737" t="e">
        <f t="shared" si="23"/>
        <v>#DIV/0!</v>
      </c>
      <c r="BG62" s="737" t="e">
        <f t="shared" si="23"/>
        <v>#DIV/0!</v>
      </c>
      <c r="BH62" s="737" t="e">
        <f t="shared" si="23"/>
        <v>#DIV/0!</v>
      </c>
      <c r="BI62" s="547" t="e">
        <f t="shared" si="23"/>
        <v>#DIV/0!</v>
      </c>
      <c r="BJ62" s="730">
        <f t="shared" si="24"/>
        <v>180948233</v>
      </c>
      <c r="BK62" s="544">
        <f t="shared" si="25"/>
        <v>179548373</v>
      </c>
      <c r="BL62" s="553">
        <f t="shared" si="26"/>
        <v>0.99226375424180024</v>
      </c>
      <c r="BM62" s="544">
        <f t="shared" si="27"/>
        <v>179548373</v>
      </c>
      <c r="BN62" s="553">
        <f t="shared" ref="BN62:BN79" si="258">+BM62/BJ62</f>
        <v>0.99226375424180024</v>
      </c>
      <c r="BO62" s="548"/>
      <c r="BP62" s="552" t="s">
        <v>2353</v>
      </c>
      <c r="BQ62" s="552" t="s">
        <v>24</v>
      </c>
      <c r="BR62" s="554" t="s">
        <v>2325</v>
      </c>
    </row>
    <row r="63" spans="1:70" ht="78.75" customHeight="1" x14ac:dyDescent="0.25">
      <c r="A63" s="539" t="s">
        <v>1979</v>
      </c>
      <c r="B63" s="539" t="s">
        <v>2064</v>
      </c>
      <c r="C63" s="540" t="s">
        <v>2094</v>
      </c>
      <c r="D63" s="723">
        <v>15</v>
      </c>
      <c r="E63" s="724">
        <v>25</v>
      </c>
      <c r="F63" s="724">
        <v>30</v>
      </c>
      <c r="G63" s="749">
        <v>30</v>
      </c>
      <c r="H63" s="724">
        <v>15</v>
      </c>
      <c r="I63" s="541"/>
      <c r="J63" s="541"/>
      <c r="K63" s="541"/>
      <c r="L63" s="541"/>
      <c r="M63" s="542"/>
      <c r="N63" s="542"/>
      <c r="O63" s="542"/>
      <c r="P63" s="562">
        <f t="shared" si="250"/>
        <v>1</v>
      </c>
      <c r="Q63" s="545">
        <f t="shared" si="250"/>
        <v>0</v>
      </c>
      <c r="R63" s="562">
        <f t="shared" si="250"/>
        <v>0</v>
      </c>
      <c r="S63" s="562">
        <f t="shared" si="250"/>
        <v>0</v>
      </c>
      <c r="T63" s="550" t="s">
        <v>2111</v>
      </c>
      <c r="U63" s="629">
        <v>45657</v>
      </c>
      <c r="V63" s="544">
        <f>SUM(D63:G63)</f>
        <v>100</v>
      </c>
      <c r="W63" s="544">
        <f t="shared" si="251"/>
        <v>15</v>
      </c>
      <c r="X63" s="549">
        <f t="shared" si="252"/>
        <v>0.15</v>
      </c>
      <c r="Y63" s="546">
        <v>0.25</v>
      </c>
      <c r="Z63" s="546">
        <v>0.25</v>
      </c>
      <c r="AA63" s="546"/>
      <c r="AB63" s="547"/>
      <c r="AC63" s="547"/>
      <c r="AD63" s="668">
        <f>+'Anexo 5.2 A'!BG59</f>
        <v>6321201639.0599995</v>
      </c>
      <c r="AE63" s="730"/>
      <c r="AF63" s="730"/>
      <c r="AG63" s="730"/>
      <c r="AH63" s="675">
        <f>+'Anexo 5.2 A'!BH59</f>
        <v>6319978280.1599998</v>
      </c>
      <c r="AI63" s="728"/>
      <c r="AJ63" s="743"/>
      <c r="AK63" s="743"/>
      <c r="AL63" s="549">
        <f t="shared" ref="AL63:AL65" si="259">+AH63/AD63</f>
        <v>0.99980646735069478</v>
      </c>
      <c r="AM63" s="549" t="e">
        <f t="shared" ref="AL63:AN81" si="260">+AI63/AE63</f>
        <v>#DIV/0!</v>
      </c>
      <c r="AN63" s="549" t="e">
        <f t="shared" si="260"/>
        <v>#DIV/0!</v>
      </c>
      <c r="AO63" s="549" t="e">
        <f t="shared" si="253"/>
        <v>#DIV/0!</v>
      </c>
      <c r="AP63" s="675">
        <f>+'Anexo 5.2 A'!BJ59</f>
        <v>1238018248.3499999</v>
      </c>
      <c r="AQ63" s="675">
        <f>+'Anexo 5.2 A'!BK59</f>
        <v>0</v>
      </c>
      <c r="AR63" s="675">
        <f>+'Anexo 5.2 A'!BL59</f>
        <v>0</v>
      </c>
      <c r="AS63" s="675">
        <f>+'Anexo 5.2 A'!BM59</f>
        <v>0</v>
      </c>
      <c r="AT63" s="549">
        <f t="shared" ref="AT63:AV108" si="261">+AP63/AD63</f>
        <v>0.19585172551687507</v>
      </c>
      <c r="AU63" s="549" t="e">
        <f t="shared" si="261"/>
        <v>#DIV/0!</v>
      </c>
      <c r="AV63" s="549" t="e">
        <f t="shared" si="261"/>
        <v>#DIV/0!</v>
      </c>
      <c r="AW63" s="549" t="e">
        <f t="shared" si="254"/>
        <v>#DIV/0!</v>
      </c>
      <c r="AX63" s="676">
        <f t="shared" si="235"/>
        <v>5081960031.8099995</v>
      </c>
      <c r="AY63" s="676">
        <f t="shared" si="255"/>
        <v>0</v>
      </c>
      <c r="AZ63" s="676">
        <f t="shared" si="256"/>
        <v>0</v>
      </c>
      <c r="BA63" s="676">
        <f t="shared" si="257"/>
        <v>0</v>
      </c>
      <c r="BB63" s="551"/>
      <c r="BC63" s="551"/>
      <c r="BD63" s="551"/>
      <c r="BE63" s="551"/>
      <c r="BF63" s="737">
        <f t="shared" ref="BF63:BI108" si="262">+BB63/AX63</f>
        <v>0</v>
      </c>
      <c r="BG63" s="737" t="e">
        <f t="shared" si="262"/>
        <v>#DIV/0!</v>
      </c>
      <c r="BH63" s="737" t="e">
        <f t="shared" si="262"/>
        <v>#DIV/0!</v>
      </c>
      <c r="BI63" s="547" t="e">
        <f t="shared" si="262"/>
        <v>#DIV/0!</v>
      </c>
      <c r="BJ63" s="730">
        <f t="shared" si="24"/>
        <v>6321201639.0599995</v>
      </c>
      <c r="BK63" s="544">
        <f t="shared" ref="BK63:BK108" si="263">+AH63+AI63+AJ63+AK63</f>
        <v>6319978280.1599998</v>
      </c>
      <c r="BL63" s="553">
        <f t="shared" ref="BL63:BL81" si="264">+BK63/BJ63</f>
        <v>0.99980646735069478</v>
      </c>
      <c r="BM63" s="544">
        <f t="shared" ref="BM63:BM108" si="265">+AP63+AQ63+AR63+AS63</f>
        <v>1238018248.3499999</v>
      </c>
      <c r="BN63" s="553">
        <f t="shared" si="258"/>
        <v>0.19585172551687507</v>
      </c>
      <c r="BO63" s="548"/>
      <c r="BP63" s="552" t="s">
        <v>2353</v>
      </c>
      <c r="BQ63" s="552" t="s">
        <v>2340</v>
      </c>
      <c r="BR63" s="761" t="s">
        <v>2325</v>
      </c>
    </row>
    <row r="64" spans="1:70" ht="69" customHeight="1" x14ac:dyDescent="0.25">
      <c r="A64" s="539" t="s">
        <v>1980</v>
      </c>
      <c r="B64" s="539" t="s">
        <v>2065</v>
      </c>
      <c r="C64" s="540" t="s">
        <v>2097</v>
      </c>
      <c r="D64" s="540">
        <v>400</v>
      </c>
      <c r="E64" s="740">
        <v>400</v>
      </c>
      <c r="F64" s="740">
        <v>350</v>
      </c>
      <c r="G64" s="741">
        <v>350</v>
      </c>
      <c r="H64" s="740">
        <v>315</v>
      </c>
      <c r="I64" s="541"/>
      <c r="J64" s="541"/>
      <c r="K64" s="541"/>
      <c r="L64" s="541"/>
      <c r="M64" s="542"/>
      <c r="N64" s="542"/>
      <c r="O64" s="542"/>
      <c r="P64" s="562">
        <f t="shared" si="250"/>
        <v>0.78749999999999998</v>
      </c>
      <c r="Q64" s="545">
        <f t="shared" si="250"/>
        <v>0</v>
      </c>
      <c r="R64" s="562">
        <f t="shared" si="250"/>
        <v>0</v>
      </c>
      <c r="S64" s="562">
        <f t="shared" si="250"/>
        <v>0</v>
      </c>
      <c r="T64" s="552" t="s">
        <v>2140</v>
      </c>
      <c r="U64" s="629">
        <v>45657</v>
      </c>
      <c r="V64" s="544">
        <f>SUM(D64:G64)</f>
        <v>1500</v>
      </c>
      <c r="W64" s="544">
        <f t="shared" si="251"/>
        <v>315</v>
      </c>
      <c r="X64" s="549">
        <f t="shared" si="252"/>
        <v>0.21</v>
      </c>
      <c r="Y64" s="546">
        <v>0.25</v>
      </c>
      <c r="Z64" s="546">
        <v>0.25</v>
      </c>
      <c r="AA64" s="546"/>
      <c r="AB64" s="547"/>
      <c r="AC64" s="547"/>
      <c r="AD64" s="668">
        <f>+'Anexo 5.2 A'!BG60</f>
        <v>30476389134.25</v>
      </c>
      <c r="AE64" s="730"/>
      <c r="AF64" s="730"/>
      <c r="AG64" s="730"/>
      <c r="AH64" s="675">
        <f>+'Anexo 5.2 A'!BH60</f>
        <v>30457436788.5</v>
      </c>
      <c r="AI64" s="728"/>
      <c r="AJ64" s="743"/>
      <c r="AK64" s="743"/>
      <c r="AL64" s="549">
        <f t="shared" si="259"/>
        <v>0.99937813020871624</v>
      </c>
      <c r="AM64" s="549" t="e">
        <f t="shared" si="260"/>
        <v>#DIV/0!</v>
      </c>
      <c r="AN64" s="549" t="e">
        <f t="shared" si="260"/>
        <v>#DIV/0!</v>
      </c>
      <c r="AO64" s="549" t="e">
        <f t="shared" si="253"/>
        <v>#DIV/0!</v>
      </c>
      <c r="AP64" s="675">
        <f>+'Anexo 5.2 A'!BJ60</f>
        <v>21976672946.139999</v>
      </c>
      <c r="AQ64" s="675">
        <f>+'Anexo 5.2 A'!BK60</f>
        <v>0</v>
      </c>
      <c r="AR64" s="675">
        <f>+'Anexo 5.2 A'!BL60</f>
        <v>0</v>
      </c>
      <c r="AS64" s="675">
        <f>+'Anexo 5.2 A'!BM60</f>
        <v>0</v>
      </c>
      <c r="AT64" s="549">
        <f t="shared" si="261"/>
        <v>0.72110488054643451</v>
      </c>
      <c r="AU64" s="549" t="e">
        <f t="shared" si="261"/>
        <v>#DIV/0!</v>
      </c>
      <c r="AV64" s="549" t="e">
        <f t="shared" si="261"/>
        <v>#DIV/0!</v>
      </c>
      <c r="AW64" s="549" t="e">
        <f t="shared" si="254"/>
        <v>#DIV/0!</v>
      </c>
      <c r="AX64" s="676">
        <f t="shared" si="235"/>
        <v>8480763842.3600006</v>
      </c>
      <c r="AY64" s="676">
        <f t="shared" si="255"/>
        <v>0</v>
      </c>
      <c r="AZ64" s="676">
        <f t="shared" si="256"/>
        <v>0</v>
      </c>
      <c r="BA64" s="676">
        <f t="shared" si="257"/>
        <v>0</v>
      </c>
      <c r="BB64" s="551"/>
      <c r="BC64" s="551"/>
      <c r="BD64" s="551"/>
      <c r="BE64" s="551"/>
      <c r="BF64" s="737">
        <f t="shared" si="262"/>
        <v>0</v>
      </c>
      <c r="BG64" s="737" t="e">
        <f t="shared" si="262"/>
        <v>#DIV/0!</v>
      </c>
      <c r="BH64" s="737" t="e">
        <f t="shared" si="262"/>
        <v>#DIV/0!</v>
      </c>
      <c r="BI64" s="547" t="e">
        <f t="shared" si="262"/>
        <v>#DIV/0!</v>
      </c>
      <c r="BJ64" s="730">
        <f t="shared" si="24"/>
        <v>30476389134.25</v>
      </c>
      <c r="BK64" s="544">
        <f t="shared" si="263"/>
        <v>30457436788.5</v>
      </c>
      <c r="BL64" s="553">
        <f t="shared" si="264"/>
        <v>0.99937813020871624</v>
      </c>
      <c r="BM64" s="544">
        <f t="shared" si="265"/>
        <v>21976672946.139999</v>
      </c>
      <c r="BN64" s="553">
        <f t="shared" si="258"/>
        <v>0.72110488054643451</v>
      </c>
      <c r="BO64" s="548"/>
      <c r="BP64" s="552" t="s">
        <v>2353</v>
      </c>
      <c r="BQ64" s="552" t="s">
        <v>2341</v>
      </c>
      <c r="BR64" s="761" t="s">
        <v>2325</v>
      </c>
    </row>
    <row r="65" spans="1:70" ht="71.25" customHeight="1" x14ac:dyDescent="0.25">
      <c r="A65" s="539" t="s">
        <v>1981</v>
      </c>
      <c r="B65" s="550" t="s">
        <v>2066</v>
      </c>
      <c r="C65" s="540" t="s">
        <v>2093</v>
      </c>
      <c r="D65" s="540">
        <v>0</v>
      </c>
      <c r="E65" s="740">
        <v>1</v>
      </c>
      <c r="F65" s="740">
        <v>1</v>
      </c>
      <c r="G65" s="741">
        <v>1</v>
      </c>
      <c r="H65" s="740">
        <v>0</v>
      </c>
      <c r="I65" s="541"/>
      <c r="J65" s="541"/>
      <c r="K65" s="541"/>
      <c r="L65" s="541"/>
      <c r="M65" s="542"/>
      <c r="N65" s="542"/>
      <c r="O65" s="542"/>
      <c r="P65" s="546" t="s">
        <v>2142</v>
      </c>
      <c r="Q65" s="545">
        <f t="shared" si="250"/>
        <v>0</v>
      </c>
      <c r="R65" s="562">
        <f t="shared" si="250"/>
        <v>0</v>
      </c>
      <c r="S65" s="562">
        <f t="shared" si="250"/>
        <v>0</v>
      </c>
      <c r="T65" s="546" t="s">
        <v>2142</v>
      </c>
      <c r="U65" s="629">
        <v>45657</v>
      </c>
      <c r="V65" s="544">
        <f>SUM(D65:G65)</f>
        <v>3</v>
      </c>
      <c r="W65" s="544">
        <f t="shared" si="251"/>
        <v>0</v>
      </c>
      <c r="X65" s="549">
        <f t="shared" si="252"/>
        <v>0</v>
      </c>
      <c r="Y65" s="546" t="s">
        <v>2142</v>
      </c>
      <c r="Z65" s="546" t="s">
        <v>2142</v>
      </c>
      <c r="AA65" s="546"/>
      <c r="AB65" s="547"/>
      <c r="AC65" s="547"/>
      <c r="AD65" s="668">
        <f>+'Anexo 5.2 A'!BG61</f>
        <v>0</v>
      </c>
      <c r="AE65" s="730"/>
      <c r="AF65" s="730"/>
      <c r="AG65" s="730"/>
      <c r="AH65" s="675">
        <f>+'Anexo 5.2 A'!BH61</f>
        <v>0</v>
      </c>
      <c r="AI65" s="728"/>
      <c r="AJ65" s="743"/>
      <c r="AK65" s="743"/>
      <c r="AL65" s="549" t="e">
        <f t="shared" si="259"/>
        <v>#DIV/0!</v>
      </c>
      <c r="AM65" s="549" t="e">
        <f t="shared" si="260"/>
        <v>#DIV/0!</v>
      </c>
      <c r="AN65" s="549" t="e">
        <f t="shared" si="260"/>
        <v>#DIV/0!</v>
      </c>
      <c r="AO65" s="549" t="e">
        <f t="shared" si="253"/>
        <v>#DIV/0!</v>
      </c>
      <c r="AP65" s="675">
        <f>+'Anexo 5.2 A'!BJ61</f>
        <v>0</v>
      </c>
      <c r="AQ65" s="675">
        <f>+'Anexo 5.2 A'!BK61</f>
        <v>0</v>
      </c>
      <c r="AR65" s="675">
        <f>+'Anexo 5.2 A'!BL61</f>
        <v>0</v>
      </c>
      <c r="AS65" s="675">
        <f>+'Anexo 5.2 A'!BM61</f>
        <v>0</v>
      </c>
      <c r="AT65" s="549" t="e">
        <f t="shared" si="261"/>
        <v>#DIV/0!</v>
      </c>
      <c r="AU65" s="549" t="e">
        <f t="shared" si="261"/>
        <v>#DIV/0!</v>
      </c>
      <c r="AV65" s="549" t="e">
        <f t="shared" si="261"/>
        <v>#DIV/0!</v>
      </c>
      <c r="AW65" s="549" t="e">
        <f t="shared" si="254"/>
        <v>#DIV/0!</v>
      </c>
      <c r="AX65" s="676">
        <f t="shared" si="235"/>
        <v>0</v>
      </c>
      <c r="AY65" s="676">
        <f t="shared" si="255"/>
        <v>0</v>
      </c>
      <c r="AZ65" s="676">
        <f t="shared" si="256"/>
        <v>0</v>
      </c>
      <c r="BA65" s="676">
        <f t="shared" si="257"/>
        <v>0</v>
      </c>
      <c r="BB65" s="551"/>
      <c r="BC65" s="551"/>
      <c r="BD65" s="551"/>
      <c r="BE65" s="551"/>
      <c r="BF65" s="737" t="e">
        <f t="shared" si="262"/>
        <v>#DIV/0!</v>
      </c>
      <c r="BG65" s="737" t="e">
        <f t="shared" si="262"/>
        <v>#DIV/0!</v>
      </c>
      <c r="BH65" s="737" t="e">
        <f t="shared" si="262"/>
        <v>#DIV/0!</v>
      </c>
      <c r="BI65" s="547" t="e">
        <f t="shared" si="262"/>
        <v>#DIV/0!</v>
      </c>
      <c r="BJ65" s="730">
        <f t="shared" si="24"/>
        <v>0</v>
      </c>
      <c r="BK65" s="544">
        <f t="shared" si="263"/>
        <v>0</v>
      </c>
      <c r="BL65" s="553" t="e">
        <f t="shared" si="264"/>
        <v>#DIV/0!</v>
      </c>
      <c r="BM65" s="544">
        <f t="shared" si="265"/>
        <v>0</v>
      </c>
      <c r="BN65" s="553" t="e">
        <f t="shared" si="258"/>
        <v>#DIV/0!</v>
      </c>
      <c r="BO65" s="548"/>
      <c r="BP65" s="552" t="s">
        <v>2353</v>
      </c>
      <c r="BQ65" s="552" t="s">
        <v>2342</v>
      </c>
      <c r="BR65" s="761" t="s">
        <v>2325</v>
      </c>
    </row>
    <row r="66" spans="1:70" ht="63.75" customHeight="1" x14ac:dyDescent="0.25">
      <c r="A66" s="539" t="s">
        <v>1982</v>
      </c>
      <c r="B66" s="550" t="s">
        <v>2066</v>
      </c>
      <c r="C66" s="540" t="s">
        <v>2093</v>
      </c>
      <c r="D66" s="540">
        <v>1</v>
      </c>
      <c r="E66" s="740">
        <v>1</v>
      </c>
      <c r="F66" s="740">
        <v>1</v>
      </c>
      <c r="G66" s="741">
        <v>1</v>
      </c>
      <c r="H66" s="740">
        <v>1</v>
      </c>
      <c r="I66" s="541"/>
      <c r="J66" s="541"/>
      <c r="K66" s="541"/>
      <c r="L66" s="541"/>
      <c r="M66" s="542"/>
      <c r="N66" s="542"/>
      <c r="O66" s="542"/>
      <c r="P66" s="562">
        <f t="shared" si="250"/>
        <v>1</v>
      </c>
      <c r="Q66" s="545"/>
      <c r="R66" s="562"/>
      <c r="S66" s="562"/>
      <c r="T66" s="550" t="s">
        <v>2112</v>
      </c>
      <c r="U66" s="629">
        <v>45657</v>
      </c>
      <c r="V66" s="544">
        <f>SUM(D66:G66)</f>
        <v>4</v>
      </c>
      <c r="W66" s="544">
        <f t="shared" si="251"/>
        <v>1</v>
      </c>
      <c r="X66" s="549">
        <f t="shared" si="252"/>
        <v>0.25</v>
      </c>
      <c r="Y66" s="546">
        <v>0.25</v>
      </c>
      <c r="Z66" s="546">
        <v>0.25</v>
      </c>
      <c r="AA66" s="546"/>
      <c r="AB66" s="547"/>
      <c r="AC66" s="547"/>
      <c r="AD66" s="668">
        <f>+'Anexo 5.2 A'!BG62</f>
        <v>100000000</v>
      </c>
      <c r="AE66" s="730"/>
      <c r="AF66" s="730"/>
      <c r="AG66" s="730"/>
      <c r="AH66" s="675">
        <f>+'Anexo 5.2 A'!BH62</f>
        <v>97032085</v>
      </c>
      <c r="AI66" s="728"/>
      <c r="AJ66" s="743"/>
      <c r="AK66" s="743"/>
      <c r="AL66" s="549">
        <f t="shared" ref="AL66" si="266">+AH66/AD66</f>
        <v>0.97032085000000001</v>
      </c>
      <c r="AM66" s="549" t="e">
        <f t="shared" ref="AM66" si="267">+AI66/AE66</f>
        <v>#DIV/0!</v>
      </c>
      <c r="AN66" s="549" t="e">
        <f t="shared" ref="AN66" si="268">+AJ66/AF66</f>
        <v>#DIV/0!</v>
      </c>
      <c r="AO66" s="549" t="e">
        <f t="shared" ref="AO66" si="269">+AK66/AG66</f>
        <v>#DIV/0!</v>
      </c>
      <c r="AP66" s="675">
        <f>+'Anexo 5.2 A'!BJ62</f>
        <v>97032085</v>
      </c>
      <c r="AQ66" s="675">
        <f>+'Anexo 5.2 A'!BK62</f>
        <v>0</v>
      </c>
      <c r="AR66" s="675">
        <f>+'Anexo 5.2 A'!BL62</f>
        <v>0</v>
      </c>
      <c r="AS66" s="675">
        <f>+'Anexo 5.2 A'!BM62</f>
        <v>0</v>
      </c>
      <c r="AT66" s="549">
        <f t="shared" ref="AT66" si="270">+AP66/AD66</f>
        <v>0.97032085000000001</v>
      </c>
      <c r="AU66" s="549" t="e">
        <f t="shared" ref="AU66" si="271">+AQ66/AE66</f>
        <v>#DIV/0!</v>
      </c>
      <c r="AV66" s="549" t="e">
        <f t="shared" ref="AV66" si="272">+AR66/AF66</f>
        <v>#DIV/0!</v>
      </c>
      <c r="AW66" s="549" t="e">
        <f t="shared" ref="AW66" si="273">+AS66/AG66</f>
        <v>#DIV/0!</v>
      </c>
      <c r="AX66" s="676">
        <f t="shared" si="235"/>
        <v>0</v>
      </c>
      <c r="AY66" s="676">
        <f t="shared" si="255"/>
        <v>0</v>
      </c>
      <c r="AZ66" s="676">
        <f t="shared" si="256"/>
        <v>0</v>
      </c>
      <c r="BA66" s="676">
        <f t="shared" si="257"/>
        <v>0</v>
      </c>
      <c r="BB66" s="551"/>
      <c r="BC66" s="551"/>
      <c r="BD66" s="551"/>
      <c r="BE66" s="551"/>
      <c r="BF66" s="737" t="e">
        <f t="shared" ref="BF66" si="274">+BB66/AX66</f>
        <v>#DIV/0!</v>
      </c>
      <c r="BG66" s="737" t="e">
        <f t="shared" ref="BG66" si="275">+BC66/AY66</f>
        <v>#DIV/0!</v>
      </c>
      <c r="BH66" s="737" t="e">
        <f t="shared" ref="BH66" si="276">+BD66/AZ66</f>
        <v>#DIV/0!</v>
      </c>
      <c r="BI66" s="547" t="e">
        <f t="shared" ref="BI66" si="277">+BE66/BA66</f>
        <v>#DIV/0!</v>
      </c>
      <c r="BJ66" s="730">
        <f t="shared" si="24"/>
        <v>100000000</v>
      </c>
      <c r="BK66" s="544">
        <f t="shared" ref="BK66" si="278">+AH66+AI66+AJ66+AK66</f>
        <v>97032085</v>
      </c>
      <c r="BL66" s="553">
        <f t="shared" ref="BL66" si="279">+BK66/BJ66</f>
        <v>0.97032085000000001</v>
      </c>
      <c r="BM66" s="544">
        <f t="shared" ref="BM66" si="280">+AP66+AQ66+AR66+AS66</f>
        <v>97032085</v>
      </c>
      <c r="BN66" s="553">
        <f t="shared" ref="BN66" si="281">+BM66/BJ66</f>
        <v>0.97032085000000001</v>
      </c>
      <c r="BO66" s="548"/>
      <c r="BP66" s="552" t="s">
        <v>2353</v>
      </c>
      <c r="BQ66" s="552" t="s">
        <v>2341</v>
      </c>
      <c r="BR66" s="761" t="s">
        <v>2325</v>
      </c>
    </row>
    <row r="67" spans="1:70" ht="63.75" x14ac:dyDescent="0.25">
      <c r="A67" s="533" t="s">
        <v>1983</v>
      </c>
      <c r="B67" s="533"/>
      <c r="C67" s="534"/>
      <c r="D67" s="534"/>
      <c r="E67" s="535"/>
      <c r="F67" s="535"/>
      <c r="G67" s="535"/>
      <c r="H67" s="535"/>
      <c r="I67" s="535"/>
      <c r="J67" s="535"/>
      <c r="K67" s="535"/>
      <c r="L67" s="535"/>
      <c r="M67" s="535"/>
      <c r="N67" s="535"/>
      <c r="O67" s="535"/>
      <c r="P67" s="536">
        <f>+SUMPRODUCT(P68:P70,Z68:Z70)</f>
        <v>1</v>
      </c>
      <c r="Q67" s="536">
        <f>+SUMPRODUCT(Q68:Q69,AA68:AA69)</f>
        <v>0</v>
      </c>
      <c r="R67" s="536">
        <f>+SUMPRODUCT(R68:R69,AB68:AB69)</f>
        <v>0</v>
      </c>
      <c r="S67" s="536">
        <f>+SUMPRODUCT(S68:S69,AC68:AC69)</f>
        <v>0</v>
      </c>
      <c r="T67" s="533"/>
      <c r="U67" s="512"/>
      <c r="V67" s="512"/>
      <c r="W67" s="537">
        <f t="shared" si="251"/>
        <v>0</v>
      </c>
      <c r="X67" s="719">
        <f>+SUMPRODUCT(X68:X70,Y68:Y70)</f>
        <v>0.16666666666666666</v>
      </c>
      <c r="Y67" s="536">
        <v>0.4</v>
      </c>
      <c r="Z67" s="536">
        <v>0.4</v>
      </c>
      <c r="AA67" s="536"/>
      <c r="AB67" s="536"/>
      <c r="AC67" s="536"/>
      <c r="AD67" s="667">
        <f>SUM(AD68:AD70)</f>
        <v>14302035767</v>
      </c>
      <c r="AE67" s="667">
        <f t="shared" ref="AE67:AG67" si="282">SUM(AE68:AE70)</f>
        <v>0</v>
      </c>
      <c r="AF67" s="667">
        <f t="shared" si="282"/>
        <v>0</v>
      </c>
      <c r="AG67" s="667">
        <f t="shared" si="282"/>
        <v>0</v>
      </c>
      <c r="AH67" s="667">
        <f>SUM(AH68:AH70)</f>
        <v>14300602005</v>
      </c>
      <c r="AI67" s="667">
        <f t="shared" ref="AI67:AK67" si="283">SUM(AI68:AI70)</f>
        <v>0</v>
      </c>
      <c r="AJ67" s="667">
        <f t="shared" si="283"/>
        <v>0</v>
      </c>
      <c r="AK67" s="667">
        <f t="shared" si="283"/>
        <v>0</v>
      </c>
      <c r="AL67" s="538">
        <f t="shared" si="260"/>
        <v>0.99989975119463004</v>
      </c>
      <c r="AM67" s="538" t="e">
        <f t="shared" si="260"/>
        <v>#DIV/0!</v>
      </c>
      <c r="AN67" s="538" t="e">
        <f t="shared" si="260"/>
        <v>#DIV/0!</v>
      </c>
      <c r="AO67" s="538" t="e">
        <f t="shared" si="253"/>
        <v>#DIV/0!</v>
      </c>
      <c r="AP67" s="667">
        <f t="shared" ref="AP67" si="284">SUM(AP68:AP70)</f>
        <v>5399009299.8000002</v>
      </c>
      <c r="AQ67" s="667">
        <f t="shared" ref="AQ67" si="285">SUM(AQ68:AQ70)</f>
        <v>0</v>
      </c>
      <c r="AR67" s="667">
        <f t="shared" ref="AR67" si="286">SUM(AR68:AR70)</f>
        <v>0</v>
      </c>
      <c r="AS67" s="667">
        <f t="shared" ref="AS67" si="287">SUM(AS68:AS70)</f>
        <v>0</v>
      </c>
      <c r="AT67" s="538">
        <f t="shared" si="261"/>
        <v>0.37749935657813688</v>
      </c>
      <c r="AU67" s="538" t="e">
        <f t="shared" si="261"/>
        <v>#DIV/0!</v>
      </c>
      <c r="AV67" s="538" t="e">
        <f t="shared" si="261"/>
        <v>#DIV/0!</v>
      </c>
      <c r="AW67" s="538" t="e">
        <f t="shared" si="254"/>
        <v>#DIV/0!</v>
      </c>
      <c r="AX67" s="667">
        <f>SUM(AX68:AX70)</f>
        <v>8901592705.2000008</v>
      </c>
      <c r="AY67" s="667">
        <f t="shared" ref="AY67:BA67" si="288">SUM(AY68:AY70)</f>
        <v>0</v>
      </c>
      <c r="AZ67" s="667">
        <f t="shared" si="288"/>
        <v>0</v>
      </c>
      <c r="BA67" s="667">
        <f t="shared" si="288"/>
        <v>0</v>
      </c>
      <c r="BB67" s="667">
        <f t="shared" ref="BB67" si="289">SUM(BB68:BB70)</f>
        <v>0</v>
      </c>
      <c r="BC67" s="667">
        <f t="shared" ref="BC67" si="290">SUM(BC68:BC70)</f>
        <v>0</v>
      </c>
      <c r="BD67" s="667">
        <f t="shared" ref="BD67" si="291">SUM(BD68:BD70)</f>
        <v>0</v>
      </c>
      <c r="BE67" s="667">
        <f t="shared" ref="BE67" si="292">SUM(BE68:BE70)</f>
        <v>0</v>
      </c>
      <c r="BF67" s="733">
        <f t="shared" si="262"/>
        <v>0</v>
      </c>
      <c r="BG67" s="733" t="e">
        <f t="shared" si="262"/>
        <v>#DIV/0!</v>
      </c>
      <c r="BH67" s="733" t="e">
        <f t="shared" si="262"/>
        <v>#DIV/0!</v>
      </c>
      <c r="BI67" s="536" t="e">
        <f t="shared" si="262"/>
        <v>#DIV/0!</v>
      </c>
      <c r="BJ67" s="537">
        <f t="shared" si="24"/>
        <v>14302035767</v>
      </c>
      <c r="BK67" s="537">
        <f t="shared" si="263"/>
        <v>14300602005</v>
      </c>
      <c r="BL67" s="536">
        <f t="shared" si="264"/>
        <v>0.99989975119463004</v>
      </c>
      <c r="BM67" s="537">
        <f t="shared" si="265"/>
        <v>5399009299.8000002</v>
      </c>
      <c r="BN67" s="536">
        <f t="shared" si="258"/>
        <v>0.37749935657813688</v>
      </c>
      <c r="BO67" s="534"/>
      <c r="BP67" s="534"/>
      <c r="BQ67" s="534"/>
      <c r="BR67" s="534"/>
    </row>
    <row r="68" spans="1:70" ht="72" customHeight="1" x14ac:dyDescent="0.25">
      <c r="A68" s="539" t="s">
        <v>1984</v>
      </c>
      <c r="B68" s="539" t="s">
        <v>2067</v>
      </c>
      <c r="C68" s="540" t="s">
        <v>2093</v>
      </c>
      <c r="D68" s="540">
        <v>0</v>
      </c>
      <c r="E68" s="740">
        <v>1</v>
      </c>
      <c r="F68" s="740">
        <v>1</v>
      </c>
      <c r="G68" s="741">
        <v>1</v>
      </c>
      <c r="H68" s="541">
        <v>0</v>
      </c>
      <c r="I68" s="541">
        <v>0</v>
      </c>
      <c r="J68" s="541"/>
      <c r="K68" s="541"/>
      <c r="L68" s="541"/>
      <c r="M68" s="542"/>
      <c r="N68" s="542"/>
      <c r="O68" s="542"/>
      <c r="P68" s="546" t="s">
        <v>2142</v>
      </c>
      <c r="Q68" s="562">
        <f t="shared" ref="P68:S70" si="293">IF((I68+M68)/E68&gt;=100%,100%,(I68+M68)/E68)</f>
        <v>0</v>
      </c>
      <c r="R68" s="562">
        <f t="shared" si="293"/>
        <v>0</v>
      </c>
      <c r="S68" s="562">
        <f t="shared" si="293"/>
        <v>0</v>
      </c>
      <c r="T68" s="546" t="s">
        <v>2142</v>
      </c>
      <c r="U68" s="629">
        <v>45657</v>
      </c>
      <c r="V68" s="544">
        <f>SUM(D68:G68)</f>
        <v>3</v>
      </c>
      <c r="W68" s="544">
        <f>SUM(H68:N68)</f>
        <v>0</v>
      </c>
      <c r="X68" s="549">
        <f t="shared" ref="X68:X69" si="294">IF(W68/V68&gt;=100%,100%,W68/V68)</f>
        <v>0</v>
      </c>
      <c r="Y68" s="546" t="s">
        <v>2142</v>
      </c>
      <c r="Z68" s="546" t="s">
        <v>2142</v>
      </c>
      <c r="AA68" s="546"/>
      <c r="AB68" s="547"/>
      <c r="AC68" s="547"/>
      <c r="AD68" s="668">
        <f>+'Anexo 5.2 A'!BG64</f>
        <v>0</v>
      </c>
      <c r="AE68" s="730"/>
      <c r="AF68" s="730"/>
      <c r="AG68" s="730"/>
      <c r="AH68" s="675">
        <f>+'Anexo 5.2 A'!BH64</f>
        <v>0</v>
      </c>
      <c r="AI68" s="728"/>
      <c r="AJ68" s="748"/>
      <c r="AK68" s="743"/>
      <c r="AL68" s="549" t="e">
        <f t="shared" si="260"/>
        <v>#DIV/0!</v>
      </c>
      <c r="AM68" s="549" t="e">
        <f t="shared" si="260"/>
        <v>#DIV/0!</v>
      </c>
      <c r="AN68" s="549" t="e">
        <f t="shared" si="260"/>
        <v>#DIV/0!</v>
      </c>
      <c r="AO68" s="549" t="e">
        <f t="shared" si="253"/>
        <v>#DIV/0!</v>
      </c>
      <c r="AP68" s="675">
        <f>+'Anexo 5.2 A'!BJ64</f>
        <v>0</v>
      </c>
      <c r="AQ68" s="675">
        <f>+'Anexo 5.2 A'!BK64</f>
        <v>0</v>
      </c>
      <c r="AR68" s="675">
        <f>+'Anexo 5.2 A'!BL64</f>
        <v>0</v>
      </c>
      <c r="AS68" s="675">
        <f>+'Anexo 5.2 A'!BM64</f>
        <v>0</v>
      </c>
      <c r="AT68" s="549" t="e">
        <f t="shared" si="261"/>
        <v>#DIV/0!</v>
      </c>
      <c r="AU68" s="549" t="e">
        <f t="shared" si="261"/>
        <v>#DIV/0!</v>
      </c>
      <c r="AV68" s="549" t="e">
        <f t="shared" si="261"/>
        <v>#DIV/0!</v>
      </c>
      <c r="AW68" s="549" t="e">
        <f t="shared" si="254"/>
        <v>#DIV/0!</v>
      </c>
      <c r="AX68" s="676">
        <f t="shared" si="235"/>
        <v>0</v>
      </c>
      <c r="AY68" s="676">
        <f t="shared" ref="AY68:AY70" si="295">+AI68-AQ68</f>
        <v>0</v>
      </c>
      <c r="AZ68" s="676">
        <f t="shared" ref="AZ68:AZ70" si="296">+AJ68-AR68</f>
        <v>0</v>
      </c>
      <c r="BA68" s="676">
        <f t="shared" ref="BA68:BA70" si="297">+AK68-AS68</f>
        <v>0</v>
      </c>
      <c r="BB68" s="551"/>
      <c r="BC68" s="551"/>
      <c r="BD68" s="551"/>
      <c r="BE68" s="551"/>
      <c r="BF68" s="737" t="e">
        <f t="shared" si="262"/>
        <v>#DIV/0!</v>
      </c>
      <c r="BG68" s="737" t="e">
        <f t="shared" si="262"/>
        <v>#DIV/0!</v>
      </c>
      <c r="BH68" s="737" t="e">
        <f t="shared" si="262"/>
        <v>#DIV/0!</v>
      </c>
      <c r="BI68" s="547" t="e">
        <f t="shared" si="262"/>
        <v>#DIV/0!</v>
      </c>
      <c r="BJ68" s="730">
        <f t="shared" si="24"/>
        <v>0</v>
      </c>
      <c r="BK68" s="544">
        <f t="shared" si="263"/>
        <v>0</v>
      </c>
      <c r="BL68" s="553" t="e">
        <f t="shared" si="264"/>
        <v>#DIV/0!</v>
      </c>
      <c r="BM68" s="544">
        <f t="shared" si="265"/>
        <v>0</v>
      </c>
      <c r="BN68" s="553" t="e">
        <f t="shared" si="258"/>
        <v>#DIV/0!</v>
      </c>
      <c r="BO68" s="548"/>
      <c r="BP68" s="552" t="s">
        <v>2353</v>
      </c>
      <c r="BQ68" s="552" t="s">
        <v>2339</v>
      </c>
      <c r="BR68" s="554" t="s">
        <v>2325</v>
      </c>
    </row>
    <row r="69" spans="1:70" ht="62.25" customHeight="1" x14ac:dyDescent="0.25">
      <c r="A69" s="899" t="s">
        <v>1985</v>
      </c>
      <c r="B69" s="539" t="s">
        <v>2068</v>
      </c>
      <c r="C69" s="540" t="s">
        <v>2093</v>
      </c>
      <c r="D69" s="540">
        <v>0</v>
      </c>
      <c r="E69" s="740">
        <v>1</v>
      </c>
      <c r="F69" s="740">
        <v>1</v>
      </c>
      <c r="G69" s="741">
        <v>1</v>
      </c>
      <c r="H69" s="541">
        <v>0</v>
      </c>
      <c r="I69" s="541">
        <v>0</v>
      </c>
      <c r="J69" s="541"/>
      <c r="K69" s="541"/>
      <c r="L69" s="541"/>
      <c r="M69" s="542"/>
      <c r="N69" s="542"/>
      <c r="O69" s="542"/>
      <c r="P69" s="546" t="s">
        <v>2142</v>
      </c>
      <c r="Q69" s="562">
        <f t="shared" si="293"/>
        <v>0</v>
      </c>
      <c r="R69" s="562">
        <f t="shared" si="293"/>
        <v>0</v>
      </c>
      <c r="S69" s="562">
        <f t="shared" si="293"/>
        <v>0</v>
      </c>
      <c r="T69" s="546" t="s">
        <v>2142</v>
      </c>
      <c r="U69" s="629">
        <v>45657</v>
      </c>
      <c r="V69" s="544">
        <f>SUM(D69:G69)</f>
        <v>3</v>
      </c>
      <c r="W69" s="544">
        <f>SUM(H69:N69)</f>
        <v>0</v>
      </c>
      <c r="X69" s="549">
        <f t="shared" si="294"/>
        <v>0</v>
      </c>
      <c r="Y69" s="546" t="s">
        <v>2142</v>
      </c>
      <c r="Z69" s="546" t="s">
        <v>2142</v>
      </c>
      <c r="AA69" s="546"/>
      <c r="AB69" s="547"/>
      <c r="AC69" s="547"/>
      <c r="AD69" s="668">
        <v>0</v>
      </c>
      <c r="AE69" s="730"/>
      <c r="AF69" s="730"/>
      <c r="AG69" s="730"/>
      <c r="AH69" s="675">
        <v>0</v>
      </c>
      <c r="AI69" s="728"/>
      <c r="AJ69" s="748"/>
      <c r="AK69" s="743"/>
      <c r="AL69" s="549" t="e">
        <f t="shared" si="260"/>
        <v>#DIV/0!</v>
      </c>
      <c r="AM69" s="549" t="e">
        <f t="shared" si="260"/>
        <v>#DIV/0!</v>
      </c>
      <c r="AN69" s="549" t="e">
        <f t="shared" si="260"/>
        <v>#DIV/0!</v>
      </c>
      <c r="AO69" s="549" t="e">
        <f t="shared" si="253"/>
        <v>#DIV/0!</v>
      </c>
      <c r="AP69" s="675">
        <v>0</v>
      </c>
      <c r="AQ69" s="675">
        <v>0</v>
      </c>
      <c r="AR69" s="675">
        <v>0</v>
      </c>
      <c r="AS69" s="675">
        <v>0</v>
      </c>
      <c r="AT69" s="549">
        <f>+AP69/AD70</f>
        <v>0</v>
      </c>
      <c r="AU69" s="549" t="e">
        <f t="shared" si="261"/>
        <v>#DIV/0!</v>
      </c>
      <c r="AV69" s="549" t="e">
        <f t="shared" si="261"/>
        <v>#DIV/0!</v>
      </c>
      <c r="AW69" s="549" t="e">
        <f t="shared" si="254"/>
        <v>#DIV/0!</v>
      </c>
      <c r="AX69" s="676">
        <f t="shared" si="235"/>
        <v>0</v>
      </c>
      <c r="AY69" s="676">
        <f t="shared" si="295"/>
        <v>0</v>
      </c>
      <c r="AZ69" s="676">
        <f t="shared" si="296"/>
        <v>0</v>
      </c>
      <c r="BA69" s="676">
        <f t="shared" si="297"/>
        <v>0</v>
      </c>
      <c r="BB69" s="551"/>
      <c r="BC69" s="551"/>
      <c r="BD69" s="551"/>
      <c r="BE69" s="551"/>
      <c r="BF69" s="737" t="e">
        <f t="shared" si="262"/>
        <v>#DIV/0!</v>
      </c>
      <c r="BG69" s="737" t="e">
        <f t="shared" si="262"/>
        <v>#DIV/0!</v>
      </c>
      <c r="BH69" s="737" t="e">
        <f t="shared" si="262"/>
        <v>#DIV/0!</v>
      </c>
      <c r="BI69" s="547" t="e">
        <f t="shared" si="262"/>
        <v>#DIV/0!</v>
      </c>
      <c r="BJ69" s="730">
        <f t="shared" si="24"/>
        <v>0</v>
      </c>
      <c r="BK69" s="544">
        <f t="shared" si="263"/>
        <v>0</v>
      </c>
      <c r="BL69" s="553" t="e">
        <f t="shared" si="264"/>
        <v>#DIV/0!</v>
      </c>
      <c r="BM69" s="544">
        <f t="shared" si="265"/>
        <v>0</v>
      </c>
      <c r="BN69" s="553" t="e">
        <f t="shared" si="258"/>
        <v>#DIV/0!</v>
      </c>
      <c r="BO69" s="548"/>
      <c r="BP69" s="552" t="s">
        <v>2353</v>
      </c>
      <c r="BQ69" s="552" t="s">
        <v>21</v>
      </c>
      <c r="BR69" s="554" t="s">
        <v>2325</v>
      </c>
    </row>
    <row r="70" spans="1:70" ht="81.75" customHeight="1" x14ac:dyDescent="0.25">
      <c r="A70" s="900"/>
      <c r="B70" s="539" t="s">
        <v>2069</v>
      </c>
      <c r="C70" s="540" t="s">
        <v>2093</v>
      </c>
      <c r="D70" s="540">
        <v>2</v>
      </c>
      <c r="E70" s="740">
        <v>3</v>
      </c>
      <c r="F70" s="740">
        <v>4</v>
      </c>
      <c r="G70" s="741">
        <v>3</v>
      </c>
      <c r="H70" s="541">
        <v>2</v>
      </c>
      <c r="I70" s="541">
        <v>0</v>
      </c>
      <c r="J70" s="541"/>
      <c r="K70" s="541"/>
      <c r="L70" s="541"/>
      <c r="M70" s="542"/>
      <c r="N70" s="542"/>
      <c r="O70" s="542"/>
      <c r="P70" s="562">
        <f t="shared" si="293"/>
        <v>1</v>
      </c>
      <c r="Q70" s="562"/>
      <c r="R70" s="562"/>
      <c r="S70" s="562"/>
      <c r="T70" s="550" t="s">
        <v>2113</v>
      </c>
      <c r="U70" s="629">
        <v>45657</v>
      </c>
      <c r="V70" s="544">
        <f>SUM(D70:G70)</f>
        <v>12</v>
      </c>
      <c r="W70" s="544">
        <f t="shared" si="251"/>
        <v>2</v>
      </c>
      <c r="X70" s="545">
        <f t="shared" ref="X70" si="298">IF(W70/V70&gt;=100%,100%,W70/V70)</f>
        <v>0.16666666666666666</v>
      </c>
      <c r="Y70" s="546">
        <v>1</v>
      </c>
      <c r="Z70" s="546">
        <v>1</v>
      </c>
      <c r="AA70" s="546"/>
      <c r="AB70" s="547"/>
      <c r="AC70" s="547"/>
      <c r="AD70" s="668">
        <f>+'Anexo 5.2 A'!BG65</f>
        <v>14302035767</v>
      </c>
      <c r="AE70" s="730"/>
      <c r="AF70" s="730"/>
      <c r="AG70" s="730"/>
      <c r="AH70" s="675">
        <f>+'Anexo 5.2 A'!BH65</f>
        <v>14300602005</v>
      </c>
      <c r="AI70" s="728"/>
      <c r="AJ70" s="748"/>
      <c r="AK70" s="743"/>
      <c r="AL70" s="549">
        <f t="shared" si="260"/>
        <v>0.99989975119463004</v>
      </c>
      <c r="AM70" s="549" t="e">
        <f t="shared" ref="AM70" si="299">+AI70/AE70</f>
        <v>#DIV/0!</v>
      </c>
      <c r="AN70" s="549" t="e">
        <f t="shared" ref="AN70" si="300">+AJ70/AF70</f>
        <v>#DIV/0!</v>
      </c>
      <c r="AO70" s="549" t="e">
        <f t="shared" ref="AO70" si="301">+AK70/AG70</f>
        <v>#DIV/0!</v>
      </c>
      <c r="AP70" s="675">
        <f>+'Anexo 5.2 A'!BJ65</f>
        <v>5399009299.8000002</v>
      </c>
      <c r="AQ70" s="675">
        <f>+'Anexo 5.2 A'!BK65</f>
        <v>0</v>
      </c>
      <c r="AR70" s="675">
        <f>+'Anexo 5.2 A'!BL65</f>
        <v>0</v>
      </c>
      <c r="AS70" s="675">
        <f>+'Anexo 5.2 A'!BM65</f>
        <v>0</v>
      </c>
      <c r="AT70" s="549" t="e">
        <f>+AP70/#REF!</f>
        <v>#REF!</v>
      </c>
      <c r="AU70" s="549" t="e">
        <f t="shared" ref="AU70" si="302">+AQ70/AE70</f>
        <v>#DIV/0!</v>
      </c>
      <c r="AV70" s="549" t="e">
        <f t="shared" ref="AV70" si="303">+AR70/AF70</f>
        <v>#DIV/0!</v>
      </c>
      <c r="AW70" s="549" t="e">
        <f t="shared" ref="AW70" si="304">+AS70/AG70</f>
        <v>#DIV/0!</v>
      </c>
      <c r="AX70" s="676">
        <f t="shared" si="235"/>
        <v>8901592705.2000008</v>
      </c>
      <c r="AY70" s="676">
        <f t="shared" si="295"/>
        <v>0</v>
      </c>
      <c r="AZ70" s="676">
        <f t="shared" si="296"/>
        <v>0</v>
      </c>
      <c r="BA70" s="676">
        <f t="shared" si="297"/>
        <v>0</v>
      </c>
      <c r="BB70" s="551"/>
      <c r="BC70" s="551"/>
      <c r="BD70" s="551"/>
      <c r="BE70" s="551"/>
      <c r="BF70" s="737">
        <f t="shared" ref="BF70" si="305">+BB70/AX70</f>
        <v>0</v>
      </c>
      <c r="BG70" s="737" t="e">
        <f t="shared" ref="BG70" si="306">+BC70/AY70</f>
        <v>#DIV/0!</v>
      </c>
      <c r="BH70" s="737" t="e">
        <f t="shared" ref="BH70" si="307">+BD70/AZ70</f>
        <v>#DIV/0!</v>
      </c>
      <c r="BI70" s="547" t="e">
        <f t="shared" ref="BI70" si="308">+BE70/BA70</f>
        <v>#DIV/0!</v>
      </c>
      <c r="BJ70" s="730">
        <f t="shared" si="24"/>
        <v>14302035767</v>
      </c>
      <c r="BK70" s="544">
        <f t="shared" ref="BK70" si="309">+AH70+AI70+AJ70+AK70</f>
        <v>14300602005</v>
      </c>
      <c r="BL70" s="553">
        <f t="shared" ref="BL70" si="310">+BK70/BJ70</f>
        <v>0.99989975119463004</v>
      </c>
      <c r="BM70" s="544">
        <f t="shared" ref="BM70" si="311">+AP70+AQ70+AR70+AS70</f>
        <v>5399009299.8000002</v>
      </c>
      <c r="BN70" s="553">
        <f t="shared" ref="BN70" si="312">+BM70/BJ70</f>
        <v>0.37749935657813688</v>
      </c>
      <c r="BO70" s="548"/>
      <c r="BP70" s="552" t="s">
        <v>2353</v>
      </c>
      <c r="BQ70" s="552" t="s">
        <v>2339</v>
      </c>
      <c r="BR70" s="554" t="s">
        <v>2325</v>
      </c>
    </row>
    <row r="71" spans="1:70" s="633" customFormat="1" ht="51" x14ac:dyDescent="0.25">
      <c r="A71" s="614" t="s">
        <v>1986</v>
      </c>
      <c r="B71" s="614"/>
      <c r="C71" s="623"/>
      <c r="D71" s="623"/>
      <c r="E71" s="624"/>
      <c r="F71" s="624"/>
      <c r="G71" s="616"/>
      <c r="H71" s="624"/>
      <c r="I71" s="624"/>
      <c r="J71" s="616"/>
      <c r="K71" s="624"/>
      <c r="L71" s="624"/>
      <c r="M71" s="616"/>
      <c r="N71" s="616"/>
      <c r="O71" s="616"/>
      <c r="P71" s="617">
        <f>+(P72*Z72)</f>
        <v>1</v>
      </c>
      <c r="Q71" s="618" t="e">
        <f>+(Q72*AA72)+(#REF!*#REF!)</f>
        <v>#REF!</v>
      </c>
      <c r="R71" s="618" t="e">
        <f>+(R72*AB72)+(#REF!*#REF!)</f>
        <v>#REF!</v>
      </c>
      <c r="S71" s="618" t="e">
        <f>+(S72*AC72)+(#REF!*#REF!)</f>
        <v>#DIV/0!</v>
      </c>
      <c r="T71" s="627"/>
      <c r="U71" s="679"/>
      <c r="V71" s="721"/>
      <c r="W71" s="625"/>
      <c r="X71" s="621">
        <f>+(X72*Y72)</f>
        <v>0.31037528414058402</v>
      </c>
      <c r="Y71" s="621">
        <v>0.3</v>
      </c>
      <c r="Z71" s="621">
        <v>0.3</v>
      </c>
      <c r="AA71" s="621"/>
      <c r="AB71" s="621"/>
      <c r="AC71" s="621"/>
      <c r="AD71" s="665">
        <f>+AD72</f>
        <v>11281430897.029999</v>
      </c>
      <c r="AE71" s="665">
        <f t="shared" ref="AE71:AG71" si="313">+AE72</f>
        <v>0</v>
      </c>
      <c r="AF71" s="665">
        <f t="shared" si="313"/>
        <v>0</v>
      </c>
      <c r="AG71" s="665">
        <f t="shared" si="313"/>
        <v>0</v>
      </c>
      <c r="AH71" s="665">
        <f>+AH72</f>
        <v>10540325232.379999</v>
      </c>
      <c r="AI71" s="665">
        <f t="shared" ref="AI71:AK71" si="314">+AI72</f>
        <v>0</v>
      </c>
      <c r="AJ71" s="665">
        <f t="shared" si="314"/>
        <v>0</v>
      </c>
      <c r="AK71" s="665">
        <f t="shared" si="314"/>
        <v>0</v>
      </c>
      <c r="AL71" s="622">
        <f t="shared" si="260"/>
        <v>0.93430747647046208</v>
      </c>
      <c r="AM71" s="622" t="e">
        <f t="shared" si="260"/>
        <v>#DIV/0!</v>
      </c>
      <c r="AN71" s="622" t="e">
        <f t="shared" si="260"/>
        <v>#DIV/0!</v>
      </c>
      <c r="AO71" s="622" t="e">
        <f t="shared" si="253"/>
        <v>#DIV/0!</v>
      </c>
      <c r="AP71" s="665">
        <f t="shared" ref="AP71" si="315">+AP72</f>
        <v>7167587462.9700003</v>
      </c>
      <c r="AQ71" s="665">
        <f t="shared" ref="AQ71" si="316">+AQ72</f>
        <v>0</v>
      </c>
      <c r="AR71" s="665">
        <f t="shared" ref="AR71" si="317">+AR72</f>
        <v>0</v>
      </c>
      <c r="AS71" s="665">
        <f t="shared" ref="AS71" si="318">+AS72</f>
        <v>0</v>
      </c>
      <c r="AT71" s="622">
        <f t="shared" si="261"/>
        <v>0.6353438254766931</v>
      </c>
      <c r="AU71" s="622" t="e">
        <f t="shared" si="261"/>
        <v>#DIV/0!</v>
      </c>
      <c r="AV71" s="622" t="e">
        <f t="shared" si="261"/>
        <v>#DIV/0!</v>
      </c>
      <c r="AW71" s="622" t="e">
        <f t="shared" si="254"/>
        <v>#DIV/0!</v>
      </c>
      <c r="AX71" s="665">
        <f>+AX72</f>
        <v>3372737769.4099989</v>
      </c>
      <c r="AY71" s="665">
        <f t="shared" ref="AY71:BA71" si="319">+AY72</f>
        <v>0</v>
      </c>
      <c r="AZ71" s="665">
        <f t="shared" si="319"/>
        <v>0</v>
      </c>
      <c r="BA71" s="665">
        <f t="shared" si="319"/>
        <v>0</v>
      </c>
      <c r="BB71" s="665">
        <f t="shared" ref="BB71" si="320">+BB72</f>
        <v>0</v>
      </c>
      <c r="BC71" s="665">
        <f t="shared" ref="BC71" si="321">+BC72</f>
        <v>0</v>
      </c>
      <c r="BD71" s="665">
        <f t="shared" ref="BD71" si="322">+BD72</f>
        <v>0</v>
      </c>
      <c r="BE71" s="665">
        <f t="shared" ref="BE71" si="323">+BE72</f>
        <v>0</v>
      </c>
      <c r="BF71" s="735">
        <f t="shared" si="262"/>
        <v>0</v>
      </c>
      <c r="BG71" s="735" t="e">
        <f t="shared" si="262"/>
        <v>#DIV/0!</v>
      </c>
      <c r="BH71" s="735" t="e">
        <f t="shared" si="262"/>
        <v>#DIV/0!</v>
      </c>
      <c r="BI71" s="621" t="e">
        <f t="shared" si="262"/>
        <v>#DIV/0!</v>
      </c>
      <c r="BJ71" s="620">
        <f t="shared" si="24"/>
        <v>11281430897.029999</v>
      </c>
      <c r="BK71" s="620">
        <f t="shared" si="263"/>
        <v>10540325232.379999</v>
      </c>
      <c r="BL71" s="621">
        <f t="shared" si="264"/>
        <v>0.93430747647046208</v>
      </c>
      <c r="BM71" s="620">
        <f t="shared" si="265"/>
        <v>7167587462.9700003</v>
      </c>
      <c r="BN71" s="621">
        <f t="shared" si="258"/>
        <v>0.6353438254766931</v>
      </c>
      <c r="BO71" s="615"/>
      <c r="BP71" s="615"/>
      <c r="BQ71" s="615"/>
      <c r="BR71" s="615"/>
    </row>
    <row r="72" spans="1:70" ht="78" customHeight="1" x14ac:dyDescent="0.25">
      <c r="A72" s="521" t="s">
        <v>1987</v>
      </c>
      <c r="B72" s="521"/>
      <c r="C72" s="531"/>
      <c r="D72" s="531"/>
      <c r="E72" s="524"/>
      <c r="F72" s="524"/>
      <c r="G72" s="524"/>
      <c r="H72" s="524"/>
      <c r="I72" s="524"/>
      <c r="J72" s="524"/>
      <c r="K72" s="524"/>
      <c r="L72" s="524"/>
      <c r="M72" s="524"/>
      <c r="N72" s="524"/>
      <c r="O72" s="524"/>
      <c r="P72" s="570">
        <f>+(P73*Z73)+(P76*Z76)+(P80*Z80)+(P88*Z88)+(P99*Z99)+(P104*Z104)</f>
        <v>1</v>
      </c>
      <c r="Q72" s="570">
        <f>+(Q73*AA73)</f>
        <v>0</v>
      </c>
      <c r="R72" s="570">
        <f>+(R73*AB73)</f>
        <v>0</v>
      </c>
      <c r="S72" s="570" t="e">
        <f>+(S73*AC73)</f>
        <v>#DIV/0!</v>
      </c>
      <c r="T72" s="662"/>
      <c r="U72" s="528"/>
      <c r="V72" s="528"/>
      <c r="W72" s="530"/>
      <c r="X72" s="529">
        <f>+(X73*Y73)+(X76*Y76)+(X80*Y80)+(X88*Y88)+(X99*Y99)+(X104*Y104)</f>
        <v>0.31037528414058402</v>
      </c>
      <c r="Y72" s="529">
        <v>1</v>
      </c>
      <c r="Z72" s="529">
        <v>1</v>
      </c>
      <c r="AA72" s="529"/>
      <c r="AB72" s="529"/>
      <c r="AC72" s="529"/>
      <c r="AD72" s="666">
        <f>+AD73+AD76+AD80+AD88+AD99+AD104</f>
        <v>11281430897.029999</v>
      </c>
      <c r="AE72" s="666">
        <f t="shared" ref="AE72:AG72" si="324">+AE73+AE76+AE80+AE88+AE99+AE104</f>
        <v>0</v>
      </c>
      <c r="AF72" s="666">
        <f t="shared" si="324"/>
        <v>0</v>
      </c>
      <c r="AG72" s="666">
        <f t="shared" si="324"/>
        <v>0</v>
      </c>
      <c r="AH72" s="666">
        <f>+AH73+AH76+AH80+AH88+AH99+AH104</f>
        <v>10540325232.379999</v>
      </c>
      <c r="AI72" s="666">
        <f t="shared" ref="AI72:AK72" si="325">+AI73+AI76+AI80+AI88+AI99+AI104</f>
        <v>0</v>
      </c>
      <c r="AJ72" s="666">
        <f t="shared" si="325"/>
        <v>0</v>
      </c>
      <c r="AK72" s="666">
        <f t="shared" si="325"/>
        <v>0</v>
      </c>
      <c r="AL72" s="532">
        <f t="shared" si="260"/>
        <v>0.93430747647046208</v>
      </c>
      <c r="AM72" s="532" t="e">
        <f t="shared" si="260"/>
        <v>#DIV/0!</v>
      </c>
      <c r="AN72" s="532" t="e">
        <f t="shared" si="260"/>
        <v>#DIV/0!</v>
      </c>
      <c r="AO72" s="532" t="e">
        <f t="shared" si="253"/>
        <v>#DIV/0!</v>
      </c>
      <c r="AP72" s="666">
        <f t="shared" ref="AP72" si="326">+AP73+AP76+AP80+AP88+AP99+AP104</f>
        <v>7167587462.9700003</v>
      </c>
      <c r="AQ72" s="666">
        <f t="shared" ref="AQ72" si="327">+AQ73+AQ76+AQ80+AQ88+AQ99+AQ104</f>
        <v>0</v>
      </c>
      <c r="AR72" s="666">
        <f t="shared" ref="AR72" si="328">+AR73+AR76+AR80+AR88+AR99+AR104</f>
        <v>0</v>
      </c>
      <c r="AS72" s="666">
        <f t="shared" ref="AS72" si="329">+AS73+AS76+AS80+AS88+AS99+AS104</f>
        <v>0</v>
      </c>
      <c r="AT72" s="532">
        <f t="shared" si="261"/>
        <v>0.6353438254766931</v>
      </c>
      <c r="AU72" s="532" t="e">
        <f t="shared" si="261"/>
        <v>#DIV/0!</v>
      </c>
      <c r="AV72" s="532" t="e">
        <f t="shared" si="261"/>
        <v>#DIV/0!</v>
      </c>
      <c r="AW72" s="532" t="e">
        <f t="shared" si="254"/>
        <v>#DIV/0!</v>
      </c>
      <c r="AX72" s="666">
        <f>+AX73+AX76+AX80+AX88+AX99+AX104</f>
        <v>3372737769.4099989</v>
      </c>
      <c r="AY72" s="666">
        <f t="shared" ref="AY72:BA72" si="330">+AY73+AY76+AY80+AY88+AY99+AY104</f>
        <v>0</v>
      </c>
      <c r="AZ72" s="666">
        <f t="shared" si="330"/>
        <v>0</v>
      </c>
      <c r="BA72" s="666">
        <f t="shared" si="330"/>
        <v>0</v>
      </c>
      <c r="BB72" s="666">
        <f t="shared" ref="BB72" si="331">+BB73+BB76+BB80+BB88+BB99+BB104</f>
        <v>0</v>
      </c>
      <c r="BC72" s="666">
        <f t="shared" ref="BC72" si="332">+BC73+BC76+BC80+BC88+BC99+BC104</f>
        <v>0</v>
      </c>
      <c r="BD72" s="666">
        <f t="shared" ref="BD72" si="333">+BD73+BD76+BD80+BD88+BD99+BD104</f>
        <v>0</v>
      </c>
      <c r="BE72" s="666">
        <f t="shared" ref="BE72" si="334">+BE73+BE76+BE80+BE88+BE99+BE104</f>
        <v>0</v>
      </c>
      <c r="BF72" s="732">
        <f t="shared" si="262"/>
        <v>0</v>
      </c>
      <c r="BG72" s="732" t="e">
        <f t="shared" si="262"/>
        <v>#DIV/0!</v>
      </c>
      <c r="BH72" s="732" t="e">
        <f t="shared" si="262"/>
        <v>#DIV/0!</v>
      </c>
      <c r="BI72" s="529" t="e">
        <f t="shared" si="262"/>
        <v>#DIV/0!</v>
      </c>
      <c r="BJ72" s="530">
        <f t="shared" ref="BJ72:BJ107" si="335">+AD72+AE72+AF72+AG72</f>
        <v>11281430897.029999</v>
      </c>
      <c r="BK72" s="530">
        <f t="shared" si="263"/>
        <v>10540325232.379999</v>
      </c>
      <c r="BL72" s="529">
        <f t="shared" si="264"/>
        <v>0.93430747647046208</v>
      </c>
      <c r="BM72" s="530">
        <f t="shared" si="265"/>
        <v>7167587462.9700003</v>
      </c>
      <c r="BN72" s="529">
        <f t="shared" si="258"/>
        <v>0.6353438254766931</v>
      </c>
      <c r="BO72" s="531"/>
      <c r="BP72" s="531"/>
      <c r="BQ72" s="531"/>
      <c r="BR72" s="531"/>
    </row>
    <row r="73" spans="1:70" s="645" customFormat="1" ht="53.25" hidden="1" customHeight="1" x14ac:dyDescent="0.25">
      <c r="A73" s="533" t="s">
        <v>1988</v>
      </c>
      <c r="B73" s="533"/>
      <c r="C73" s="534"/>
      <c r="D73" s="534"/>
      <c r="E73" s="535"/>
      <c r="F73" s="535"/>
      <c r="G73" s="535"/>
      <c r="H73" s="535"/>
      <c r="I73" s="535"/>
      <c r="J73" s="535"/>
      <c r="K73" s="535"/>
      <c r="L73" s="535"/>
      <c r="M73" s="535"/>
      <c r="N73" s="535"/>
      <c r="O73" s="535"/>
      <c r="P73" s="536">
        <f>+SUMPRODUCT(P74:P75,Z74:Z75)</f>
        <v>1</v>
      </c>
      <c r="Q73" s="536">
        <f>+SUMPRODUCT(Q74:Q75,AA74:AA75)</f>
        <v>0</v>
      </c>
      <c r="R73" s="536">
        <f>+SUMPRODUCT(R74:R75,AB74:AB75)</f>
        <v>0</v>
      </c>
      <c r="S73" s="536" t="e">
        <f>+SUMPRODUCT(S74:S75,AC74:AC75)</f>
        <v>#DIV/0!</v>
      </c>
      <c r="T73" s="660"/>
      <c r="U73" s="512"/>
      <c r="V73" s="512"/>
      <c r="W73" s="537"/>
      <c r="X73" s="564">
        <f>+SUMPRODUCT(X74:X75,Y74:Y75)</f>
        <v>0.25</v>
      </c>
      <c r="Y73" s="536">
        <v>0.1</v>
      </c>
      <c r="Z73" s="536">
        <v>0.1</v>
      </c>
      <c r="AA73" s="536"/>
      <c r="AB73" s="536"/>
      <c r="AC73" s="536"/>
      <c r="AD73" s="667">
        <f>SUM(AD74:AD75)</f>
        <v>270575796</v>
      </c>
      <c r="AE73" s="667">
        <f t="shared" ref="AE73:AG73" si="336">SUM(AE74:AE75)</f>
        <v>0</v>
      </c>
      <c r="AF73" s="667">
        <f t="shared" si="336"/>
        <v>0</v>
      </c>
      <c r="AG73" s="667">
        <f t="shared" si="336"/>
        <v>0</v>
      </c>
      <c r="AH73" s="667">
        <f>SUM(AH74:AH75)</f>
        <v>263356666</v>
      </c>
      <c r="AI73" s="667">
        <f t="shared" ref="AI73:AK73" si="337">SUM(AI74:AI75)</f>
        <v>0</v>
      </c>
      <c r="AJ73" s="667">
        <f t="shared" si="337"/>
        <v>0</v>
      </c>
      <c r="AK73" s="667">
        <f t="shared" si="337"/>
        <v>0</v>
      </c>
      <c r="AL73" s="538">
        <f t="shared" si="260"/>
        <v>0.973319379978836</v>
      </c>
      <c r="AM73" s="538" t="e">
        <f t="shared" si="260"/>
        <v>#DIV/0!</v>
      </c>
      <c r="AN73" s="538" t="e">
        <f t="shared" si="260"/>
        <v>#DIV/0!</v>
      </c>
      <c r="AO73" s="538" t="e">
        <f t="shared" si="253"/>
        <v>#DIV/0!</v>
      </c>
      <c r="AP73" s="667">
        <f t="shared" ref="AP73" si="338">SUM(AP74:AP75)</f>
        <v>262246728</v>
      </c>
      <c r="AQ73" s="667">
        <f t="shared" ref="AQ73" si="339">SUM(AQ74:AQ75)</f>
        <v>0</v>
      </c>
      <c r="AR73" s="667">
        <f t="shared" ref="AR73" si="340">SUM(AR74:AR75)</f>
        <v>0</v>
      </c>
      <c r="AS73" s="667">
        <f t="shared" ref="AS73" si="341">SUM(AS74:AS75)</f>
        <v>0</v>
      </c>
      <c r="AT73" s="538">
        <f t="shared" si="261"/>
        <v>0.96921724661580599</v>
      </c>
      <c r="AU73" s="538" t="e">
        <f t="shared" si="261"/>
        <v>#DIV/0!</v>
      </c>
      <c r="AV73" s="538" t="e">
        <f t="shared" si="261"/>
        <v>#DIV/0!</v>
      </c>
      <c r="AW73" s="538" t="e">
        <f t="shared" si="254"/>
        <v>#DIV/0!</v>
      </c>
      <c r="AX73" s="667">
        <f>SUM(AX74:AX75)</f>
        <v>1109938</v>
      </c>
      <c r="AY73" s="667">
        <f t="shared" ref="AY73:BA73" si="342">SUM(AY74:AY75)</f>
        <v>0</v>
      </c>
      <c r="AZ73" s="667">
        <f t="shared" si="342"/>
        <v>0</v>
      </c>
      <c r="BA73" s="667">
        <f t="shared" si="342"/>
        <v>0</v>
      </c>
      <c r="BB73" s="667">
        <f t="shared" ref="BB73" si="343">SUM(BB74:BB75)</f>
        <v>0</v>
      </c>
      <c r="BC73" s="667">
        <f t="shared" ref="BC73" si="344">SUM(BC74:BC75)</f>
        <v>0</v>
      </c>
      <c r="BD73" s="667">
        <f t="shared" ref="BD73" si="345">SUM(BD74:BD75)</f>
        <v>0</v>
      </c>
      <c r="BE73" s="667">
        <f t="shared" ref="BE73" si="346">SUM(BE74:BE75)</f>
        <v>0</v>
      </c>
      <c r="BF73" s="733">
        <f t="shared" si="262"/>
        <v>0</v>
      </c>
      <c r="BG73" s="733" t="e">
        <f t="shared" si="262"/>
        <v>#DIV/0!</v>
      </c>
      <c r="BH73" s="733" t="e">
        <f t="shared" si="262"/>
        <v>#DIV/0!</v>
      </c>
      <c r="BI73" s="536" t="e">
        <f t="shared" si="262"/>
        <v>#DIV/0!</v>
      </c>
      <c r="BJ73" s="537">
        <f t="shared" si="335"/>
        <v>270575796</v>
      </c>
      <c r="BK73" s="537">
        <f t="shared" si="263"/>
        <v>263356666</v>
      </c>
      <c r="BL73" s="536">
        <f t="shared" si="264"/>
        <v>0.973319379978836</v>
      </c>
      <c r="BM73" s="537">
        <f t="shared" si="265"/>
        <v>262246728</v>
      </c>
      <c r="BN73" s="536">
        <f t="shared" si="258"/>
        <v>0.96921724661580599</v>
      </c>
      <c r="BO73" s="534"/>
      <c r="BP73" s="534"/>
      <c r="BQ73" s="534"/>
      <c r="BR73" s="534"/>
    </row>
    <row r="74" spans="1:70" ht="53.25" hidden="1" customHeight="1" x14ac:dyDescent="0.25">
      <c r="A74" s="539" t="s">
        <v>1989</v>
      </c>
      <c r="B74" s="758" t="s">
        <v>2070</v>
      </c>
      <c r="C74" s="554" t="s">
        <v>2093</v>
      </c>
      <c r="D74" s="554">
        <v>0</v>
      </c>
      <c r="E74" s="740">
        <v>1</v>
      </c>
      <c r="F74" s="740">
        <v>1</v>
      </c>
      <c r="G74" s="741">
        <v>0</v>
      </c>
      <c r="H74" s="740">
        <v>0</v>
      </c>
      <c r="I74" s="541">
        <v>0</v>
      </c>
      <c r="J74" s="541"/>
      <c r="K74" s="541"/>
      <c r="L74" s="541"/>
      <c r="M74" s="542"/>
      <c r="N74" s="542"/>
      <c r="O74" s="542"/>
      <c r="P74" s="546" t="s">
        <v>2142</v>
      </c>
      <c r="Q74" s="562">
        <f t="shared" ref="P74:S75" si="347">IF((I74+M74)/E74&gt;=100%,100%,(I74+M74)/E74)</f>
        <v>0</v>
      </c>
      <c r="R74" s="562">
        <f t="shared" si="347"/>
        <v>0</v>
      </c>
      <c r="S74" s="562" t="e">
        <f t="shared" si="347"/>
        <v>#DIV/0!</v>
      </c>
      <c r="T74" s="546" t="s">
        <v>2142</v>
      </c>
      <c r="U74" s="629">
        <v>45657</v>
      </c>
      <c r="V74" s="544">
        <f>SUM(D74:G74)</f>
        <v>2</v>
      </c>
      <c r="W74" s="544">
        <f>SUM(H74:N74)</f>
        <v>0</v>
      </c>
      <c r="X74" s="547">
        <f t="shared" ref="X74:X75" si="348">IF(W74/V74&gt;=100%,100%,W74/V74)</f>
        <v>0</v>
      </c>
      <c r="Y74" s="546" t="s">
        <v>2142</v>
      </c>
      <c r="Z74" s="546" t="s">
        <v>2142</v>
      </c>
      <c r="AA74" s="546"/>
      <c r="AB74" s="547"/>
      <c r="AC74" s="547"/>
      <c r="AD74" s="668">
        <f>+'Anexo 5.2 A'!BG69</f>
        <v>0</v>
      </c>
      <c r="AE74" s="730"/>
      <c r="AF74" s="730"/>
      <c r="AG74" s="730"/>
      <c r="AH74" s="675">
        <f>+'Anexo 5.2 A'!BH69</f>
        <v>0</v>
      </c>
      <c r="AI74" s="728"/>
      <c r="AJ74" s="743"/>
      <c r="AK74" s="743"/>
      <c r="AL74" s="549" t="e">
        <f t="shared" si="260"/>
        <v>#DIV/0!</v>
      </c>
      <c r="AM74" s="549" t="e">
        <f t="shared" si="260"/>
        <v>#DIV/0!</v>
      </c>
      <c r="AN74" s="549" t="e">
        <f t="shared" si="260"/>
        <v>#DIV/0!</v>
      </c>
      <c r="AO74" s="549" t="e">
        <f t="shared" si="253"/>
        <v>#DIV/0!</v>
      </c>
      <c r="AP74" s="675">
        <f>+'Anexo 5.2 A'!BJ69</f>
        <v>0</v>
      </c>
      <c r="AQ74" s="675">
        <f>+'Anexo 5.2 A'!BK69</f>
        <v>0</v>
      </c>
      <c r="AR74" s="675">
        <f>+'Anexo 5.2 A'!BL69</f>
        <v>0</v>
      </c>
      <c r="AS74" s="675">
        <f>+'Anexo 5.2 A'!BM69</f>
        <v>0</v>
      </c>
      <c r="AT74" s="549" t="e">
        <f t="shared" si="261"/>
        <v>#DIV/0!</v>
      </c>
      <c r="AU74" s="549" t="e">
        <f t="shared" si="261"/>
        <v>#DIV/0!</v>
      </c>
      <c r="AV74" s="549" t="e">
        <f t="shared" si="261"/>
        <v>#DIV/0!</v>
      </c>
      <c r="AW74" s="549" t="e">
        <f t="shared" si="254"/>
        <v>#DIV/0!</v>
      </c>
      <c r="AX74" s="676">
        <f t="shared" ref="AX74:AX107" si="349">+AH74-AP74</f>
        <v>0</v>
      </c>
      <c r="AY74" s="676">
        <f t="shared" ref="AY74:AY75" si="350">+AI74-AQ74</f>
        <v>0</v>
      </c>
      <c r="AZ74" s="676">
        <f t="shared" ref="AZ74:AZ75" si="351">+AJ74-AR74</f>
        <v>0</v>
      </c>
      <c r="BA74" s="676">
        <f t="shared" ref="BA74:BA75" si="352">+AK74-AS74</f>
        <v>0</v>
      </c>
      <c r="BB74" s="551"/>
      <c r="BC74" s="551"/>
      <c r="BD74" s="551"/>
      <c r="BE74" s="551"/>
      <c r="BF74" s="737" t="e">
        <f t="shared" si="262"/>
        <v>#DIV/0!</v>
      </c>
      <c r="BG74" s="737" t="e">
        <f t="shared" si="262"/>
        <v>#DIV/0!</v>
      </c>
      <c r="BH74" s="737" t="e">
        <f t="shared" si="262"/>
        <v>#DIV/0!</v>
      </c>
      <c r="BI74" s="547" t="e">
        <f t="shared" si="262"/>
        <v>#DIV/0!</v>
      </c>
      <c r="BJ74" s="730">
        <f t="shared" si="335"/>
        <v>0</v>
      </c>
      <c r="BK74" s="544">
        <f t="shared" si="263"/>
        <v>0</v>
      </c>
      <c r="BL74" s="553" t="e">
        <f t="shared" si="264"/>
        <v>#DIV/0!</v>
      </c>
      <c r="BM74" s="544">
        <f t="shared" si="265"/>
        <v>0</v>
      </c>
      <c r="BN74" s="553" t="e">
        <f t="shared" si="258"/>
        <v>#DIV/0!</v>
      </c>
      <c r="BO74" s="548"/>
      <c r="BP74" s="552" t="s">
        <v>2354</v>
      </c>
      <c r="BQ74" s="552" t="s">
        <v>27</v>
      </c>
      <c r="BR74" s="554" t="s">
        <v>2326</v>
      </c>
    </row>
    <row r="75" spans="1:70" ht="53.25" hidden="1" customHeight="1" x14ac:dyDescent="0.25">
      <c r="A75" s="759" t="s">
        <v>1990</v>
      </c>
      <c r="B75" s="601" t="s">
        <v>2071</v>
      </c>
      <c r="C75" s="760" t="s">
        <v>2093</v>
      </c>
      <c r="D75" s="554">
        <v>1</v>
      </c>
      <c r="E75" s="740">
        <v>1</v>
      </c>
      <c r="F75" s="740">
        <v>1</v>
      </c>
      <c r="G75" s="741">
        <v>1</v>
      </c>
      <c r="H75" s="740">
        <v>1</v>
      </c>
      <c r="I75" s="541">
        <v>0</v>
      </c>
      <c r="J75" s="541"/>
      <c r="K75" s="541"/>
      <c r="L75" s="541"/>
      <c r="M75" s="542"/>
      <c r="N75" s="542"/>
      <c r="O75" s="542"/>
      <c r="P75" s="562">
        <f t="shared" si="347"/>
        <v>1</v>
      </c>
      <c r="Q75" s="562">
        <f t="shared" si="347"/>
        <v>0</v>
      </c>
      <c r="R75" s="562">
        <f t="shared" si="347"/>
        <v>0</v>
      </c>
      <c r="S75" s="562">
        <f t="shared" si="347"/>
        <v>0</v>
      </c>
      <c r="T75" s="550" t="s">
        <v>2114</v>
      </c>
      <c r="U75" s="629">
        <v>45657</v>
      </c>
      <c r="V75" s="544">
        <f>SUM(D75:G75)</f>
        <v>4</v>
      </c>
      <c r="W75" s="544">
        <f>SUM(H75:N75)</f>
        <v>1</v>
      </c>
      <c r="X75" s="547">
        <f t="shared" si="348"/>
        <v>0.25</v>
      </c>
      <c r="Y75" s="546">
        <v>1</v>
      </c>
      <c r="Z75" s="546">
        <v>1</v>
      </c>
      <c r="AA75" s="546"/>
      <c r="AB75" s="547"/>
      <c r="AC75" s="547"/>
      <c r="AD75" s="668">
        <f>+'Anexo 5.2 A'!BG70</f>
        <v>270575796</v>
      </c>
      <c r="AE75" s="730"/>
      <c r="AF75" s="730"/>
      <c r="AG75" s="730"/>
      <c r="AH75" s="675">
        <f>+'Anexo 5.2 A'!BH70</f>
        <v>263356666</v>
      </c>
      <c r="AI75" s="728"/>
      <c r="AJ75" s="743"/>
      <c r="AK75" s="743"/>
      <c r="AL75" s="549">
        <f t="shared" si="260"/>
        <v>0.973319379978836</v>
      </c>
      <c r="AM75" s="549" t="e">
        <f t="shared" si="260"/>
        <v>#DIV/0!</v>
      </c>
      <c r="AN75" s="549" t="e">
        <f t="shared" si="260"/>
        <v>#DIV/0!</v>
      </c>
      <c r="AO75" s="549" t="e">
        <f t="shared" si="253"/>
        <v>#DIV/0!</v>
      </c>
      <c r="AP75" s="675">
        <f>+'Anexo 5.2 A'!BJ70</f>
        <v>262246728</v>
      </c>
      <c r="AQ75" s="675">
        <f>+'Anexo 5.2 A'!BK70</f>
        <v>0</v>
      </c>
      <c r="AR75" s="675">
        <f>+'Anexo 5.2 A'!BL70</f>
        <v>0</v>
      </c>
      <c r="AS75" s="675">
        <f>+'Anexo 5.2 A'!BM70</f>
        <v>0</v>
      </c>
      <c r="AT75" s="549">
        <f t="shared" si="261"/>
        <v>0.96921724661580599</v>
      </c>
      <c r="AU75" s="549" t="e">
        <f t="shared" si="261"/>
        <v>#DIV/0!</v>
      </c>
      <c r="AV75" s="549" t="e">
        <f t="shared" si="261"/>
        <v>#DIV/0!</v>
      </c>
      <c r="AW75" s="549" t="e">
        <f t="shared" si="254"/>
        <v>#DIV/0!</v>
      </c>
      <c r="AX75" s="676">
        <f t="shared" si="349"/>
        <v>1109938</v>
      </c>
      <c r="AY75" s="676">
        <f t="shared" si="350"/>
        <v>0</v>
      </c>
      <c r="AZ75" s="676">
        <f t="shared" si="351"/>
        <v>0</v>
      </c>
      <c r="BA75" s="676">
        <f t="shared" si="352"/>
        <v>0</v>
      </c>
      <c r="BB75" s="551"/>
      <c r="BC75" s="551"/>
      <c r="BD75" s="551"/>
      <c r="BE75" s="551"/>
      <c r="BF75" s="737">
        <f t="shared" si="262"/>
        <v>0</v>
      </c>
      <c r="BG75" s="737" t="e">
        <f t="shared" si="262"/>
        <v>#DIV/0!</v>
      </c>
      <c r="BH75" s="737" t="e">
        <f t="shared" si="262"/>
        <v>#DIV/0!</v>
      </c>
      <c r="BI75" s="547" t="e">
        <f t="shared" si="262"/>
        <v>#DIV/0!</v>
      </c>
      <c r="BJ75" s="730">
        <f t="shared" si="335"/>
        <v>270575796</v>
      </c>
      <c r="BK75" s="544">
        <f t="shared" si="263"/>
        <v>263356666</v>
      </c>
      <c r="BL75" s="553">
        <f t="shared" si="264"/>
        <v>0.973319379978836</v>
      </c>
      <c r="BM75" s="544">
        <f t="shared" si="265"/>
        <v>262246728</v>
      </c>
      <c r="BN75" s="553"/>
      <c r="BO75" s="548"/>
      <c r="BP75" s="552" t="s">
        <v>2354</v>
      </c>
      <c r="BQ75" s="552" t="s">
        <v>27</v>
      </c>
      <c r="BR75" s="554" t="s">
        <v>2326</v>
      </c>
    </row>
    <row r="76" spans="1:70" s="645" customFormat="1" ht="53.25" hidden="1" customHeight="1" x14ac:dyDescent="0.25">
      <c r="A76" s="533" t="s">
        <v>1991</v>
      </c>
      <c r="B76" s="604"/>
      <c r="C76" s="534"/>
      <c r="D76" s="534"/>
      <c r="E76" s="535"/>
      <c r="F76" s="535"/>
      <c r="G76" s="535"/>
      <c r="H76" s="535"/>
      <c r="I76" s="535"/>
      <c r="J76" s="535"/>
      <c r="K76" s="535"/>
      <c r="L76" s="535"/>
      <c r="M76" s="535"/>
      <c r="N76" s="535"/>
      <c r="O76" s="535"/>
      <c r="P76" s="536">
        <f>+SUMPRODUCT(P77:P79,Z77:Z79)</f>
        <v>1</v>
      </c>
      <c r="Q76" s="536">
        <f>+SUMPRODUCT(Q77:Q87,AA77:AA87)</f>
        <v>0</v>
      </c>
      <c r="R76" s="536">
        <f>+SUMPRODUCT(R77:R87,AB77:AB87)</f>
        <v>0</v>
      </c>
      <c r="S76" s="536" t="e">
        <f>+SUMPRODUCT(S77:S87,AC77:AC87)</f>
        <v>#DIV/0!</v>
      </c>
      <c r="T76" s="533"/>
      <c r="U76" s="512"/>
      <c r="V76" s="512"/>
      <c r="W76" s="537"/>
      <c r="X76" s="564">
        <f>+SUMPRODUCT(X77:X79,Y77:Y79)</f>
        <v>0.29166666666666663</v>
      </c>
      <c r="Y76" s="536">
        <v>0.15</v>
      </c>
      <c r="Z76" s="536">
        <v>0.15</v>
      </c>
      <c r="AA76" s="536"/>
      <c r="AB76" s="536"/>
      <c r="AC76" s="536"/>
      <c r="AD76" s="667">
        <f t="shared" ref="AD76:AK76" si="353">SUM(AD77:AD79)</f>
        <v>216359936</v>
      </c>
      <c r="AE76" s="667">
        <f t="shared" si="353"/>
        <v>0</v>
      </c>
      <c r="AF76" s="667">
        <f t="shared" si="353"/>
        <v>0</v>
      </c>
      <c r="AG76" s="667">
        <f t="shared" si="353"/>
        <v>0</v>
      </c>
      <c r="AH76" s="667">
        <f t="shared" si="353"/>
        <v>209271582</v>
      </c>
      <c r="AI76" s="667">
        <f t="shared" si="353"/>
        <v>0</v>
      </c>
      <c r="AJ76" s="667">
        <f t="shared" si="353"/>
        <v>0</v>
      </c>
      <c r="AK76" s="667">
        <f t="shared" si="353"/>
        <v>0</v>
      </c>
      <c r="AL76" s="538">
        <f t="shared" si="260"/>
        <v>0.96723813968959582</v>
      </c>
      <c r="AM76" s="538" t="e">
        <f t="shared" si="260"/>
        <v>#DIV/0!</v>
      </c>
      <c r="AN76" s="538" t="e">
        <f t="shared" si="260"/>
        <v>#DIV/0!</v>
      </c>
      <c r="AO76" s="538" t="e">
        <f t="shared" si="253"/>
        <v>#DIV/0!</v>
      </c>
      <c r="AP76" s="667">
        <f t="shared" ref="AP76:AS76" si="354">SUM(AP77:AP79)</f>
        <v>207015662</v>
      </c>
      <c r="AQ76" s="667">
        <f t="shared" si="354"/>
        <v>0</v>
      </c>
      <c r="AR76" s="667">
        <f t="shared" si="354"/>
        <v>0</v>
      </c>
      <c r="AS76" s="667">
        <f t="shared" si="354"/>
        <v>0</v>
      </c>
      <c r="AT76" s="538">
        <f t="shared" si="261"/>
        <v>0.95681144035834809</v>
      </c>
      <c r="AU76" s="538" t="e">
        <f t="shared" si="261"/>
        <v>#DIV/0!</v>
      </c>
      <c r="AV76" s="538" t="e">
        <f t="shared" si="261"/>
        <v>#DIV/0!</v>
      </c>
      <c r="AW76" s="538" t="e">
        <f t="shared" si="254"/>
        <v>#DIV/0!</v>
      </c>
      <c r="AX76" s="667">
        <f t="shared" ref="AX76:BE76" si="355">SUM(AX77:AX79)</f>
        <v>2255919.9999999851</v>
      </c>
      <c r="AY76" s="667">
        <f t="shared" si="355"/>
        <v>0</v>
      </c>
      <c r="AZ76" s="667">
        <f t="shared" si="355"/>
        <v>0</v>
      </c>
      <c r="BA76" s="667">
        <f t="shared" si="355"/>
        <v>0</v>
      </c>
      <c r="BB76" s="667">
        <f t="shared" si="355"/>
        <v>0</v>
      </c>
      <c r="BC76" s="667">
        <f t="shared" si="355"/>
        <v>0</v>
      </c>
      <c r="BD76" s="667">
        <f t="shared" si="355"/>
        <v>0</v>
      </c>
      <c r="BE76" s="667">
        <f t="shared" si="355"/>
        <v>0</v>
      </c>
      <c r="BF76" s="733">
        <f t="shared" si="262"/>
        <v>0</v>
      </c>
      <c r="BG76" s="733" t="e">
        <f t="shared" si="262"/>
        <v>#DIV/0!</v>
      </c>
      <c r="BH76" s="733" t="e">
        <f t="shared" si="262"/>
        <v>#DIV/0!</v>
      </c>
      <c r="BI76" s="536" t="e">
        <f t="shared" si="262"/>
        <v>#DIV/0!</v>
      </c>
      <c r="BJ76" s="537">
        <f t="shared" si="335"/>
        <v>216359936</v>
      </c>
      <c r="BK76" s="537">
        <f t="shared" si="263"/>
        <v>209271582</v>
      </c>
      <c r="BL76" s="536">
        <f t="shared" si="264"/>
        <v>0.96723813968959582</v>
      </c>
      <c r="BM76" s="537">
        <f t="shared" si="265"/>
        <v>207015662</v>
      </c>
      <c r="BN76" s="536">
        <f t="shared" si="258"/>
        <v>0.95681144035834809</v>
      </c>
      <c r="BO76" s="534"/>
      <c r="BP76" s="762"/>
      <c r="BQ76" s="534"/>
      <c r="BR76" s="534"/>
    </row>
    <row r="77" spans="1:70" ht="53.25" hidden="1" customHeight="1" x14ac:dyDescent="0.25">
      <c r="A77" s="539" t="s">
        <v>1992</v>
      </c>
      <c r="B77" s="539" t="s">
        <v>2072</v>
      </c>
      <c r="C77" s="554" t="s">
        <v>2093</v>
      </c>
      <c r="D77" s="554">
        <v>1</v>
      </c>
      <c r="E77" s="567">
        <v>1</v>
      </c>
      <c r="F77" s="567">
        <v>1</v>
      </c>
      <c r="G77" s="568">
        <v>1</v>
      </c>
      <c r="H77" s="541">
        <v>1</v>
      </c>
      <c r="I77" s="541">
        <v>0</v>
      </c>
      <c r="J77" s="541"/>
      <c r="K77" s="541"/>
      <c r="L77" s="541"/>
      <c r="M77" s="542"/>
      <c r="N77" s="542"/>
      <c r="O77" s="542"/>
      <c r="P77" s="543">
        <f t="shared" ref="P77:S87" si="356">IF((H77+L77)/D77&gt;=100%,100%,(H77+L77)/D77)</f>
        <v>1</v>
      </c>
      <c r="Q77" s="545">
        <f t="shared" si="356"/>
        <v>0</v>
      </c>
      <c r="R77" s="545">
        <f t="shared" si="356"/>
        <v>0</v>
      </c>
      <c r="S77" s="545">
        <f t="shared" si="356"/>
        <v>0</v>
      </c>
      <c r="T77" s="638" t="s">
        <v>2141</v>
      </c>
      <c r="U77" s="629">
        <v>45657</v>
      </c>
      <c r="V77" s="544">
        <f t="shared" ref="V77:V107" si="357">SUM(D77:G77)</f>
        <v>4</v>
      </c>
      <c r="W77" s="544">
        <f t="shared" ref="W77:W107" si="358">SUM(H77:N77)</f>
        <v>1</v>
      </c>
      <c r="X77" s="547">
        <f t="shared" ref="X77:X107" si="359">IF(W77/V77&gt;=100%,100%,W77/V77)</f>
        <v>0.25</v>
      </c>
      <c r="Y77" s="546">
        <v>0.25</v>
      </c>
      <c r="Z77" s="546">
        <v>0.25</v>
      </c>
      <c r="AA77" s="546"/>
      <c r="AB77" s="547"/>
      <c r="AC77" s="547"/>
      <c r="AD77" s="668">
        <f>+'Anexo 5.2 A'!BG72</f>
        <v>72119978.666666672</v>
      </c>
      <c r="AE77" s="730"/>
      <c r="AF77" s="730"/>
      <c r="AG77" s="730"/>
      <c r="AH77" s="675">
        <f>+'Anexo 5.2 A'!BH72</f>
        <v>69757194</v>
      </c>
      <c r="AI77" s="728"/>
      <c r="AJ77" s="727"/>
      <c r="AK77" s="727"/>
      <c r="AL77" s="549">
        <f t="shared" si="260"/>
        <v>0.96723813968959571</v>
      </c>
      <c r="AM77" s="549" t="e">
        <f t="shared" si="260"/>
        <v>#DIV/0!</v>
      </c>
      <c r="AN77" s="549" t="e">
        <f t="shared" si="260"/>
        <v>#DIV/0!</v>
      </c>
      <c r="AO77" s="549" t="e">
        <f t="shared" si="253"/>
        <v>#DIV/0!</v>
      </c>
      <c r="AP77" s="675">
        <f>+'Anexo 5.2 A'!BJ72</f>
        <v>69005220.666666672</v>
      </c>
      <c r="AQ77" s="675">
        <f>+'Anexo 5.2 A'!BK72</f>
        <v>0</v>
      </c>
      <c r="AR77" s="675">
        <f>+'Anexo 5.2 A'!BL72</f>
        <v>0</v>
      </c>
      <c r="AS77" s="675">
        <f>+'Anexo 5.2 A'!BM72</f>
        <v>0</v>
      </c>
      <c r="AT77" s="549">
        <f t="shared" si="261"/>
        <v>0.95681144035834809</v>
      </c>
      <c r="AU77" s="549" t="e">
        <f t="shared" si="261"/>
        <v>#DIV/0!</v>
      </c>
      <c r="AV77" s="549" t="e">
        <f t="shared" si="261"/>
        <v>#DIV/0!</v>
      </c>
      <c r="AW77" s="549" t="e">
        <f t="shared" si="254"/>
        <v>#DIV/0!</v>
      </c>
      <c r="AX77" s="676">
        <f t="shared" si="349"/>
        <v>751973.33333332837</v>
      </c>
      <c r="AY77" s="676">
        <f t="shared" ref="AY77:AY79" si="360">+AI77-AQ77</f>
        <v>0</v>
      </c>
      <c r="AZ77" s="676">
        <f t="shared" ref="AZ77:AZ79" si="361">+AJ77-AR77</f>
        <v>0</v>
      </c>
      <c r="BA77" s="676">
        <f t="shared" ref="BA77:BA79" si="362">+AK77-AS77</f>
        <v>0</v>
      </c>
      <c r="BB77" s="551"/>
      <c r="BC77" s="551"/>
      <c r="BD77" s="551"/>
      <c r="BE77" s="551"/>
      <c r="BF77" s="737">
        <f t="shared" si="262"/>
        <v>0</v>
      </c>
      <c r="BG77" s="737" t="e">
        <f t="shared" si="262"/>
        <v>#DIV/0!</v>
      </c>
      <c r="BH77" s="737" t="e">
        <f t="shared" si="262"/>
        <v>#DIV/0!</v>
      </c>
      <c r="BI77" s="547" t="e">
        <f t="shared" si="262"/>
        <v>#DIV/0!</v>
      </c>
      <c r="BJ77" s="730">
        <f t="shared" si="335"/>
        <v>72119978.666666672</v>
      </c>
      <c r="BK77" s="544">
        <f t="shared" si="263"/>
        <v>69757194</v>
      </c>
      <c r="BL77" s="553">
        <f t="shared" si="264"/>
        <v>0.96723813968959571</v>
      </c>
      <c r="BM77" s="544">
        <f t="shared" si="265"/>
        <v>69005220.666666672</v>
      </c>
      <c r="BN77" s="553">
        <f t="shared" si="258"/>
        <v>0.95681144035834809</v>
      </c>
      <c r="BO77" s="548"/>
      <c r="BP77" s="552" t="s">
        <v>2355</v>
      </c>
      <c r="BQ77" s="552" t="s">
        <v>2344</v>
      </c>
      <c r="BR77" s="554" t="s">
        <v>2326</v>
      </c>
    </row>
    <row r="78" spans="1:70" ht="53.25" hidden="1" customHeight="1" x14ac:dyDescent="0.25">
      <c r="A78" s="539" t="s">
        <v>1993</v>
      </c>
      <c r="B78" s="539" t="s">
        <v>2073</v>
      </c>
      <c r="C78" s="554" t="s">
        <v>2093</v>
      </c>
      <c r="D78" s="554">
        <v>1</v>
      </c>
      <c r="E78" s="567">
        <v>1</v>
      </c>
      <c r="F78" s="567">
        <v>1</v>
      </c>
      <c r="G78" s="568">
        <v>1</v>
      </c>
      <c r="H78" s="567">
        <v>1</v>
      </c>
      <c r="I78" s="541">
        <v>0</v>
      </c>
      <c r="J78" s="573"/>
      <c r="K78" s="573"/>
      <c r="L78" s="541"/>
      <c r="M78" s="566"/>
      <c r="N78" s="566"/>
      <c r="O78" s="566"/>
      <c r="P78" s="543">
        <f t="shared" si="356"/>
        <v>1</v>
      </c>
      <c r="Q78" s="545">
        <f t="shared" si="356"/>
        <v>0</v>
      </c>
      <c r="R78" s="545">
        <f t="shared" si="356"/>
        <v>0</v>
      </c>
      <c r="S78" s="545">
        <f t="shared" si="356"/>
        <v>0</v>
      </c>
      <c r="T78" s="637" t="s">
        <v>2115</v>
      </c>
      <c r="U78" s="629">
        <v>45657</v>
      </c>
      <c r="V78" s="544">
        <f t="shared" si="357"/>
        <v>4</v>
      </c>
      <c r="W78" s="544">
        <f t="shared" si="358"/>
        <v>1</v>
      </c>
      <c r="X78" s="547">
        <f t="shared" si="359"/>
        <v>0.25</v>
      </c>
      <c r="Y78" s="546">
        <v>0.25</v>
      </c>
      <c r="Z78" s="546">
        <v>0.25</v>
      </c>
      <c r="AA78" s="546"/>
      <c r="AB78" s="547"/>
      <c r="AC78" s="547"/>
      <c r="AD78" s="668">
        <f>+'Anexo 5.2 A'!BG73</f>
        <v>72119978.666666672</v>
      </c>
      <c r="AE78" s="730"/>
      <c r="AF78" s="730"/>
      <c r="AG78" s="730"/>
      <c r="AH78" s="675">
        <f>+'Anexo 5.2 A'!BH73</f>
        <v>69757194</v>
      </c>
      <c r="AI78" s="728"/>
      <c r="AJ78" s="727"/>
      <c r="AK78" s="727"/>
      <c r="AL78" s="549">
        <f t="shared" si="260"/>
        <v>0.96723813968959571</v>
      </c>
      <c r="AM78" s="549" t="e">
        <f t="shared" si="260"/>
        <v>#DIV/0!</v>
      </c>
      <c r="AN78" s="549" t="e">
        <f t="shared" si="260"/>
        <v>#DIV/0!</v>
      </c>
      <c r="AO78" s="549" t="e">
        <f t="shared" si="253"/>
        <v>#DIV/0!</v>
      </c>
      <c r="AP78" s="675">
        <f>+'Anexo 5.2 A'!BJ73</f>
        <v>69005220.666666672</v>
      </c>
      <c r="AQ78" s="675">
        <f>+'Anexo 5.2 A'!BK73</f>
        <v>0</v>
      </c>
      <c r="AR78" s="675">
        <f>+'Anexo 5.2 A'!BL73</f>
        <v>0</v>
      </c>
      <c r="AS78" s="675">
        <f>+'Anexo 5.2 A'!BM73</f>
        <v>0</v>
      </c>
      <c r="AT78" s="549">
        <f t="shared" si="261"/>
        <v>0.95681144035834809</v>
      </c>
      <c r="AU78" s="549" t="e">
        <f t="shared" si="261"/>
        <v>#DIV/0!</v>
      </c>
      <c r="AV78" s="549" t="e">
        <f t="shared" si="261"/>
        <v>#DIV/0!</v>
      </c>
      <c r="AW78" s="549" t="e">
        <f t="shared" si="254"/>
        <v>#DIV/0!</v>
      </c>
      <c r="AX78" s="676">
        <f t="shared" si="349"/>
        <v>751973.33333332837</v>
      </c>
      <c r="AY78" s="676">
        <f t="shared" si="360"/>
        <v>0</v>
      </c>
      <c r="AZ78" s="676">
        <f t="shared" si="361"/>
        <v>0</v>
      </c>
      <c r="BA78" s="676">
        <f t="shared" si="362"/>
        <v>0</v>
      </c>
      <c r="BB78" s="551"/>
      <c r="BC78" s="551"/>
      <c r="BD78" s="551"/>
      <c r="BE78" s="551"/>
      <c r="BF78" s="737">
        <f t="shared" si="262"/>
        <v>0</v>
      </c>
      <c r="BG78" s="737" t="e">
        <f t="shared" si="262"/>
        <v>#DIV/0!</v>
      </c>
      <c r="BH78" s="737" t="e">
        <f t="shared" si="262"/>
        <v>#DIV/0!</v>
      </c>
      <c r="BI78" s="547" t="e">
        <f t="shared" si="262"/>
        <v>#DIV/0!</v>
      </c>
      <c r="BJ78" s="730">
        <f t="shared" si="335"/>
        <v>72119978.666666672</v>
      </c>
      <c r="BK78" s="544">
        <f t="shared" si="263"/>
        <v>69757194</v>
      </c>
      <c r="BL78" s="553">
        <f t="shared" si="264"/>
        <v>0.96723813968959571</v>
      </c>
      <c r="BM78" s="544">
        <f t="shared" si="265"/>
        <v>69005220.666666672</v>
      </c>
      <c r="BN78" s="553">
        <f t="shared" si="258"/>
        <v>0.95681144035834809</v>
      </c>
      <c r="BO78" s="548"/>
      <c r="BP78" s="552" t="s">
        <v>2355</v>
      </c>
      <c r="BQ78" s="552" t="s">
        <v>2344</v>
      </c>
      <c r="BR78" s="554" t="s">
        <v>2326</v>
      </c>
    </row>
    <row r="79" spans="1:70" ht="53.25" hidden="1" customHeight="1" x14ac:dyDescent="0.25">
      <c r="A79" s="539" t="s">
        <v>1994</v>
      </c>
      <c r="B79" s="550" t="s">
        <v>2074</v>
      </c>
      <c r="C79" s="554" t="s">
        <v>2093</v>
      </c>
      <c r="D79" s="554">
        <v>1</v>
      </c>
      <c r="E79" s="567">
        <v>1</v>
      </c>
      <c r="F79" s="567">
        <v>1</v>
      </c>
      <c r="G79" s="568">
        <v>0</v>
      </c>
      <c r="H79" s="567">
        <v>1</v>
      </c>
      <c r="I79" s="541">
        <v>0</v>
      </c>
      <c r="J79" s="572"/>
      <c r="K79" s="572"/>
      <c r="L79" s="541"/>
      <c r="M79" s="542"/>
      <c r="N79" s="542"/>
      <c r="O79" s="542"/>
      <c r="P79" s="543">
        <f t="shared" si="356"/>
        <v>1</v>
      </c>
      <c r="Q79" s="545">
        <f t="shared" si="356"/>
        <v>0</v>
      </c>
      <c r="R79" s="545">
        <f t="shared" si="356"/>
        <v>0</v>
      </c>
      <c r="S79" s="545" t="e">
        <f t="shared" si="356"/>
        <v>#DIV/0!</v>
      </c>
      <c r="T79" s="637" t="s">
        <v>2116</v>
      </c>
      <c r="U79" s="629">
        <v>45657</v>
      </c>
      <c r="V79" s="544">
        <f t="shared" si="357"/>
        <v>3</v>
      </c>
      <c r="W79" s="544">
        <f t="shared" si="358"/>
        <v>1</v>
      </c>
      <c r="X79" s="547">
        <f t="shared" si="359"/>
        <v>0.33333333333333331</v>
      </c>
      <c r="Y79" s="546">
        <v>0.5</v>
      </c>
      <c r="Z79" s="546">
        <v>0.5</v>
      </c>
      <c r="AA79" s="546"/>
      <c r="AB79" s="547"/>
      <c r="AC79" s="547"/>
      <c r="AD79" s="668">
        <f>+'Anexo 5.2 A'!BG74</f>
        <v>72119978.666666672</v>
      </c>
      <c r="AE79" s="730"/>
      <c r="AF79" s="730"/>
      <c r="AG79" s="730"/>
      <c r="AH79" s="675">
        <f>+'Anexo 5.2 A'!BH74</f>
        <v>69757194</v>
      </c>
      <c r="AI79" s="728"/>
      <c r="AJ79" s="727"/>
      <c r="AK79" s="727"/>
      <c r="AL79" s="549">
        <f t="shared" si="260"/>
        <v>0.96723813968959571</v>
      </c>
      <c r="AM79" s="549" t="e">
        <f t="shared" si="260"/>
        <v>#DIV/0!</v>
      </c>
      <c r="AN79" s="549" t="e">
        <f t="shared" si="260"/>
        <v>#DIV/0!</v>
      </c>
      <c r="AO79" s="549" t="e">
        <f t="shared" si="253"/>
        <v>#DIV/0!</v>
      </c>
      <c r="AP79" s="675">
        <f>+'Anexo 5.2 A'!BJ74</f>
        <v>69005220.666666672</v>
      </c>
      <c r="AQ79" s="675">
        <f>+'Anexo 5.2 A'!BK74</f>
        <v>0</v>
      </c>
      <c r="AR79" s="675">
        <f>+'Anexo 5.2 A'!BL74</f>
        <v>0</v>
      </c>
      <c r="AS79" s="675">
        <f>+'Anexo 5.2 A'!BM74</f>
        <v>0</v>
      </c>
      <c r="AT79" s="549">
        <f t="shared" si="261"/>
        <v>0.95681144035834809</v>
      </c>
      <c r="AU79" s="549" t="e">
        <f t="shared" si="261"/>
        <v>#DIV/0!</v>
      </c>
      <c r="AV79" s="549" t="e">
        <f t="shared" si="261"/>
        <v>#DIV/0!</v>
      </c>
      <c r="AW79" s="549" t="e">
        <f t="shared" si="254"/>
        <v>#DIV/0!</v>
      </c>
      <c r="AX79" s="676">
        <f t="shared" si="349"/>
        <v>751973.33333332837</v>
      </c>
      <c r="AY79" s="676">
        <f t="shared" si="360"/>
        <v>0</v>
      </c>
      <c r="AZ79" s="676">
        <f t="shared" si="361"/>
        <v>0</v>
      </c>
      <c r="BA79" s="676">
        <f t="shared" si="362"/>
        <v>0</v>
      </c>
      <c r="BB79" s="551"/>
      <c r="BC79" s="551"/>
      <c r="BD79" s="551"/>
      <c r="BE79" s="551"/>
      <c r="BF79" s="737">
        <f t="shared" si="262"/>
        <v>0</v>
      </c>
      <c r="BG79" s="737" t="e">
        <f t="shared" si="262"/>
        <v>#DIV/0!</v>
      </c>
      <c r="BH79" s="737" t="e">
        <f t="shared" si="262"/>
        <v>#DIV/0!</v>
      </c>
      <c r="BI79" s="547" t="e">
        <f t="shared" si="262"/>
        <v>#DIV/0!</v>
      </c>
      <c r="BJ79" s="730">
        <f t="shared" si="335"/>
        <v>72119978.666666672</v>
      </c>
      <c r="BK79" s="544">
        <f t="shared" si="263"/>
        <v>69757194</v>
      </c>
      <c r="BL79" s="553">
        <f t="shared" si="264"/>
        <v>0.96723813968959571</v>
      </c>
      <c r="BM79" s="544">
        <f t="shared" si="265"/>
        <v>69005220.666666672</v>
      </c>
      <c r="BN79" s="553">
        <f t="shared" si="258"/>
        <v>0.95681144035834809</v>
      </c>
      <c r="BO79" s="548"/>
      <c r="BP79" s="552" t="s">
        <v>2355</v>
      </c>
      <c r="BQ79" s="552" t="s">
        <v>2344</v>
      </c>
      <c r="BR79" s="554" t="s">
        <v>2326</v>
      </c>
    </row>
    <row r="80" spans="1:70" s="645" customFormat="1" ht="53.25" hidden="1" customHeight="1" x14ac:dyDescent="0.25">
      <c r="A80" s="533" t="s">
        <v>1995</v>
      </c>
      <c r="B80" s="533"/>
      <c r="C80" s="534"/>
      <c r="D80" s="534"/>
      <c r="E80" s="535"/>
      <c r="F80" s="535"/>
      <c r="G80" s="535"/>
      <c r="H80" s="535"/>
      <c r="I80" s="535"/>
      <c r="J80" s="535"/>
      <c r="K80" s="535"/>
      <c r="L80" s="535"/>
      <c r="M80" s="535"/>
      <c r="N80" s="535"/>
      <c r="O80" s="535"/>
      <c r="P80" s="536">
        <f>+SUMPRODUCT(P81:P87,Z81:Z87)</f>
        <v>1.0000000000000002</v>
      </c>
      <c r="Q80" s="646"/>
      <c r="R80" s="646"/>
      <c r="S80" s="646"/>
      <c r="T80" s="647"/>
      <c r="U80" s="631"/>
      <c r="V80" s="533"/>
      <c r="W80" s="512"/>
      <c r="X80" s="564">
        <f>+SUMPRODUCT(X81:X87,Y81:Y87)</f>
        <v>0.27574750830564787</v>
      </c>
      <c r="Y80" s="648">
        <v>0.15</v>
      </c>
      <c r="Z80" s="654">
        <v>0.15</v>
      </c>
      <c r="AA80" s="648"/>
      <c r="AB80" s="649"/>
      <c r="AC80" s="649"/>
      <c r="AD80" s="667">
        <f>SUM(AD81:AD87)</f>
        <v>1773441258.1299996</v>
      </c>
      <c r="AE80" s="667">
        <f t="shared" ref="AE80:AG80" si="363">SUM(AE81:AE87)</f>
        <v>0</v>
      </c>
      <c r="AF80" s="667">
        <f t="shared" si="363"/>
        <v>0</v>
      </c>
      <c r="AG80" s="667">
        <f t="shared" si="363"/>
        <v>0</v>
      </c>
      <c r="AH80" s="667">
        <f>SUM(AH81:AH87)</f>
        <v>1771184245.03</v>
      </c>
      <c r="AI80" s="667">
        <f t="shared" ref="AI80:AK80" si="364">SUM(AI81:AI87)</f>
        <v>0</v>
      </c>
      <c r="AJ80" s="667">
        <f t="shared" si="364"/>
        <v>0</v>
      </c>
      <c r="AK80" s="667">
        <f t="shared" si="364"/>
        <v>0</v>
      </c>
      <c r="AL80" s="538">
        <f t="shared" ref="AL80" si="365">+AH80/AD80</f>
        <v>0.99872732570664358</v>
      </c>
      <c r="AM80" s="538" t="e">
        <f t="shared" ref="AM80" si="366">+AI80/AE80</f>
        <v>#DIV/0!</v>
      </c>
      <c r="AN80" s="538" t="e">
        <f t="shared" ref="AN80" si="367">+AJ80/AF80</f>
        <v>#DIV/0!</v>
      </c>
      <c r="AO80" s="538" t="e">
        <f t="shared" ref="AO80" si="368">+AK80/AG80</f>
        <v>#DIV/0!</v>
      </c>
      <c r="AP80" s="667">
        <f t="shared" ref="AP80" si="369">SUM(AP81:AP87)</f>
        <v>1549342679.0299997</v>
      </c>
      <c r="AQ80" s="667">
        <f t="shared" ref="AQ80" si="370">SUM(AQ81:AQ87)</f>
        <v>0</v>
      </c>
      <c r="AR80" s="667">
        <f t="shared" ref="AR80" si="371">SUM(AR81:AR87)</f>
        <v>0</v>
      </c>
      <c r="AS80" s="667">
        <f t="shared" ref="AS80" si="372">SUM(AS81:AS87)</f>
        <v>0</v>
      </c>
      <c r="AT80" s="538">
        <f t="shared" ref="AT80" si="373">+AP80/AD80</f>
        <v>0.87363631128312647</v>
      </c>
      <c r="AU80" s="538" t="e">
        <f t="shared" ref="AU80" si="374">+AQ80/AE80</f>
        <v>#DIV/0!</v>
      </c>
      <c r="AV80" s="538" t="e">
        <f t="shared" ref="AV80" si="375">+AR80/AF80</f>
        <v>#DIV/0!</v>
      </c>
      <c r="AW80" s="538" t="e">
        <f t="shared" ref="AW80" si="376">+AS80/AG80</f>
        <v>#DIV/0!</v>
      </c>
      <c r="AX80" s="667">
        <f>SUM(AX81:AX87)</f>
        <v>221841565.99999988</v>
      </c>
      <c r="AY80" s="667">
        <f t="shared" ref="AY80:BA80" si="377">SUM(AY81:AY87)</f>
        <v>0</v>
      </c>
      <c r="AZ80" s="667">
        <f t="shared" si="377"/>
        <v>0</v>
      </c>
      <c r="BA80" s="667">
        <f t="shared" si="377"/>
        <v>0</v>
      </c>
      <c r="BB80" s="667">
        <f t="shared" ref="BB80" si="378">SUM(BB81:BB87)</f>
        <v>0</v>
      </c>
      <c r="BC80" s="667">
        <f t="shared" ref="BC80" si="379">SUM(BC81:BC87)</f>
        <v>0</v>
      </c>
      <c r="BD80" s="667">
        <f t="shared" ref="BD80" si="380">SUM(BD81:BD87)</f>
        <v>0</v>
      </c>
      <c r="BE80" s="667">
        <f t="shared" ref="BE80" si="381">SUM(BE81:BE87)</f>
        <v>0</v>
      </c>
      <c r="BF80" s="733">
        <f t="shared" ref="BF80" si="382">+BB80/AX80</f>
        <v>0</v>
      </c>
      <c r="BG80" s="733" t="e">
        <f t="shared" ref="BG80" si="383">+BC80/AY80</f>
        <v>#DIV/0!</v>
      </c>
      <c r="BH80" s="733" t="e">
        <f t="shared" ref="BH80" si="384">+BD80/AZ80</f>
        <v>#DIV/0!</v>
      </c>
      <c r="BI80" s="536" t="e">
        <f t="shared" ref="BI80" si="385">+BE80/BA80</f>
        <v>#DIV/0!</v>
      </c>
      <c r="BJ80" s="537">
        <f t="shared" si="335"/>
        <v>1773441258.1299996</v>
      </c>
      <c r="BK80" s="537">
        <f t="shared" ref="BK80" si="386">+AH80+AI80+AJ80+AK80</f>
        <v>1771184245.03</v>
      </c>
      <c r="BL80" s="536">
        <f t="shared" ref="BL80" si="387">+BK80/BJ80</f>
        <v>0.99872732570664358</v>
      </c>
      <c r="BM80" s="537">
        <f t="shared" ref="BM80" si="388">+AP80+AQ80+AR80+AS80</f>
        <v>1549342679.0299997</v>
      </c>
      <c r="BN80" s="536">
        <f t="shared" ref="BN80" si="389">+BM80/BJ80</f>
        <v>0.87363631128312647</v>
      </c>
      <c r="BO80" s="650"/>
      <c r="BP80" s="650"/>
      <c r="BQ80" s="651"/>
      <c r="BR80" s="652"/>
    </row>
    <row r="81" spans="1:70" ht="53.25" hidden="1" customHeight="1" x14ac:dyDescent="0.25">
      <c r="A81" s="539" t="s">
        <v>1996</v>
      </c>
      <c r="B81" s="550" t="s">
        <v>2075</v>
      </c>
      <c r="C81" s="554" t="s">
        <v>2093</v>
      </c>
      <c r="D81" s="554">
        <v>40</v>
      </c>
      <c r="E81" s="567">
        <v>1</v>
      </c>
      <c r="F81" s="567">
        <v>1</v>
      </c>
      <c r="G81" s="568">
        <v>1</v>
      </c>
      <c r="H81" s="599">
        <v>40</v>
      </c>
      <c r="I81" s="722">
        <v>0</v>
      </c>
      <c r="J81" s="572"/>
      <c r="K81" s="572"/>
      <c r="L81" s="541"/>
      <c r="M81" s="542"/>
      <c r="N81" s="542"/>
      <c r="O81" s="542"/>
      <c r="P81" s="543">
        <f t="shared" si="356"/>
        <v>1</v>
      </c>
      <c r="Q81" s="545">
        <f t="shared" si="356"/>
        <v>0</v>
      </c>
      <c r="R81" s="545">
        <f t="shared" si="356"/>
        <v>0</v>
      </c>
      <c r="S81" s="545">
        <f t="shared" si="356"/>
        <v>0</v>
      </c>
      <c r="T81" s="637" t="s">
        <v>2132</v>
      </c>
      <c r="U81" s="629">
        <v>45657</v>
      </c>
      <c r="V81" s="544">
        <f t="shared" si="357"/>
        <v>43</v>
      </c>
      <c r="W81" s="544">
        <f t="shared" si="358"/>
        <v>40</v>
      </c>
      <c r="X81" s="547">
        <f t="shared" si="359"/>
        <v>0.93023255813953487</v>
      </c>
      <c r="Y81" s="546">
        <v>0.14285714285714288</v>
      </c>
      <c r="Z81" s="546">
        <v>0.14285714285714288</v>
      </c>
      <c r="AA81" s="546"/>
      <c r="AB81" s="547"/>
      <c r="AC81" s="547"/>
      <c r="AD81" s="668">
        <f>+'Anexo 5.2 A'!BG76</f>
        <v>253348751.16142857</v>
      </c>
      <c r="AE81" s="730"/>
      <c r="AF81" s="730"/>
      <c r="AG81" s="730"/>
      <c r="AH81" s="675">
        <f>+'Anexo 5.2 A'!BH76</f>
        <v>253026320.71857142</v>
      </c>
      <c r="AI81" s="728"/>
      <c r="AJ81" s="727"/>
      <c r="AK81" s="727"/>
      <c r="AL81" s="549">
        <f t="shared" si="260"/>
        <v>0.99872732570664335</v>
      </c>
      <c r="AM81" s="549" t="e">
        <f t="shared" si="260"/>
        <v>#DIV/0!</v>
      </c>
      <c r="AN81" s="549" t="e">
        <f t="shared" si="260"/>
        <v>#DIV/0!</v>
      </c>
      <c r="AO81" s="549" t="e">
        <f t="shared" si="253"/>
        <v>#DIV/0!</v>
      </c>
      <c r="AP81" s="675">
        <f>+'Anexo 5.2 A'!BJ76</f>
        <v>221334668.43285716</v>
      </c>
      <c r="AQ81" s="675">
        <f>+'Anexo 5.2 A'!BK76</f>
        <v>0</v>
      </c>
      <c r="AR81" s="675">
        <f>+'Anexo 5.2 A'!BL76</f>
        <v>0</v>
      </c>
      <c r="AS81" s="675">
        <f>+'Anexo 5.2 A'!BM76</f>
        <v>0</v>
      </c>
      <c r="AT81" s="540">
        <f t="shared" si="261"/>
        <v>0.87363631128312647</v>
      </c>
      <c r="AU81" s="540" t="e">
        <f t="shared" si="261"/>
        <v>#DIV/0!</v>
      </c>
      <c r="AV81" s="540" t="e">
        <f t="shared" si="261"/>
        <v>#DIV/0!</v>
      </c>
      <c r="AW81" s="540" t="e">
        <f t="shared" si="254"/>
        <v>#DIV/0!</v>
      </c>
      <c r="AX81" s="676">
        <f t="shared" si="349"/>
        <v>31691652.285714269</v>
      </c>
      <c r="AY81" s="676">
        <f t="shared" ref="AY81:AY87" si="390">+AI81-AQ81</f>
        <v>0</v>
      </c>
      <c r="AZ81" s="676">
        <f t="shared" ref="AZ81:AZ87" si="391">+AJ81-AR81</f>
        <v>0</v>
      </c>
      <c r="BA81" s="676">
        <f t="shared" ref="BA81:BA87" si="392">+AK81-AS81</f>
        <v>0</v>
      </c>
      <c r="BB81" s="551"/>
      <c r="BC81" s="551"/>
      <c r="BD81" s="551"/>
      <c r="BE81" s="551"/>
      <c r="BF81" s="737">
        <f t="shared" si="262"/>
        <v>0</v>
      </c>
      <c r="BG81" s="737" t="e">
        <f t="shared" si="262"/>
        <v>#DIV/0!</v>
      </c>
      <c r="BH81" s="737" t="e">
        <f t="shared" si="262"/>
        <v>#DIV/0!</v>
      </c>
      <c r="BI81" s="547" t="e">
        <f t="shared" si="262"/>
        <v>#DIV/0!</v>
      </c>
      <c r="BJ81" s="730">
        <f t="shared" si="335"/>
        <v>253348751.16142857</v>
      </c>
      <c r="BK81" s="544">
        <f t="shared" si="263"/>
        <v>253026320.71857142</v>
      </c>
      <c r="BL81" s="553">
        <f t="shared" si="264"/>
        <v>0.99872732570664335</v>
      </c>
      <c r="BM81" s="544">
        <f t="shared" si="265"/>
        <v>221334668.43285716</v>
      </c>
      <c r="BN81" s="565">
        <f>+BM81/BJ81</f>
        <v>0.87363631128312647</v>
      </c>
      <c r="BO81" s="548"/>
      <c r="BP81" s="552" t="s">
        <v>2356</v>
      </c>
      <c r="BQ81" s="552" t="s">
        <v>2345</v>
      </c>
      <c r="BR81" s="554" t="s">
        <v>2326</v>
      </c>
    </row>
    <row r="82" spans="1:70" ht="53.25" hidden="1" customHeight="1" x14ac:dyDescent="0.25">
      <c r="A82" s="539" t="s">
        <v>1997</v>
      </c>
      <c r="B82" s="550" t="s">
        <v>2076</v>
      </c>
      <c r="C82" s="554" t="s">
        <v>2094</v>
      </c>
      <c r="D82" s="554">
        <v>15</v>
      </c>
      <c r="E82" s="567">
        <v>25</v>
      </c>
      <c r="F82" s="567">
        <v>30</v>
      </c>
      <c r="G82" s="568">
        <v>30</v>
      </c>
      <c r="H82" s="722">
        <v>15</v>
      </c>
      <c r="I82" s="722">
        <v>0</v>
      </c>
      <c r="J82" s="572"/>
      <c r="K82" s="572"/>
      <c r="L82" s="541"/>
      <c r="M82" s="542"/>
      <c r="N82" s="542"/>
      <c r="O82" s="542"/>
      <c r="P82" s="543">
        <f t="shared" si="356"/>
        <v>1</v>
      </c>
      <c r="Q82" s="545"/>
      <c r="R82" s="545"/>
      <c r="S82" s="545"/>
      <c r="T82" s="637" t="s">
        <v>2117</v>
      </c>
      <c r="U82" s="629">
        <v>45657</v>
      </c>
      <c r="V82" s="544">
        <f t="shared" si="357"/>
        <v>100</v>
      </c>
      <c r="W82" s="544">
        <f t="shared" si="358"/>
        <v>15</v>
      </c>
      <c r="X82" s="547">
        <f t="shared" si="359"/>
        <v>0.15</v>
      </c>
      <c r="Y82" s="546">
        <v>0.14285714285714288</v>
      </c>
      <c r="Z82" s="546">
        <v>0.14285714285714288</v>
      </c>
      <c r="AA82" s="546"/>
      <c r="AB82" s="547"/>
      <c r="AC82" s="547"/>
      <c r="AD82" s="668">
        <f>+'Anexo 5.2 A'!BG77</f>
        <v>253348751.16142857</v>
      </c>
      <c r="AE82" s="730"/>
      <c r="AF82" s="730"/>
      <c r="AG82" s="730"/>
      <c r="AH82" s="675">
        <f>+'Anexo 5.2 A'!BH77</f>
        <v>253026320.71857142</v>
      </c>
      <c r="AI82" s="728"/>
      <c r="AJ82" s="727"/>
      <c r="AK82" s="727"/>
      <c r="AL82" s="549">
        <f t="shared" ref="AL82:AL97" si="393">+AH82/AD82</f>
        <v>0.99872732570664335</v>
      </c>
      <c r="AM82" s="549" t="e">
        <f t="shared" ref="AM82:AM89" si="394">+AI82/AE82</f>
        <v>#DIV/0!</v>
      </c>
      <c r="AN82" s="549" t="e">
        <f t="shared" ref="AN82:AN89" si="395">+AJ82/AF82</f>
        <v>#DIV/0!</v>
      </c>
      <c r="AO82" s="549" t="e">
        <f t="shared" ref="AO82:AO89" si="396">+AK82/AG82</f>
        <v>#DIV/0!</v>
      </c>
      <c r="AP82" s="675">
        <f>+'Anexo 5.2 A'!BJ77</f>
        <v>221334668.43285716</v>
      </c>
      <c r="AQ82" s="675">
        <f>+'Anexo 5.2 A'!BK77</f>
        <v>0</v>
      </c>
      <c r="AR82" s="675">
        <f>+'Anexo 5.2 A'!BL77</f>
        <v>0</v>
      </c>
      <c r="AS82" s="675">
        <f>+'Anexo 5.2 A'!BM77</f>
        <v>0</v>
      </c>
      <c r="AT82" s="540">
        <f t="shared" ref="AT82:AT89" si="397">+AP82/AD82</f>
        <v>0.87363631128312647</v>
      </c>
      <c r="AU82" s="540" t="e">
        <f t="shared" ref="AU82:AU89" si="398">+AQ82/AE82</f>
        <v>#DIV/0!</v>
      </c>
      <c r="AV82" s="540" t="e">
        <f t="shared" ref="AV82:AV89" si="399">+AR82/AF82</f>
        <v>#DIV/0!</v>
      </c>
      <c r="AW82" s="540" t="e">
        <f t="shared" ref="AW82:AW89" si="400">+AS82/AG82</f>
        <v>#DIV/0!</v>
      </c>
      <c r="AX82" s="676">
        <f t="shared" si="349"/>
        <v>31691652.285714269</v>
      </c>
      <c r="AY82" s="676">
        <f t="shared" si="390"/>
        <v>0</v>
      </c>
      <c r="AZ82" s="676">
        <f t="shared" si="391"/>
        <v>0</v>
      </c>
      <c r="BA82" s="676">
        <f t="shared" si="392"/>
        <v>0</v>
      </c>
      <c r="BB82" s="551"/>
      <c r="BC82" s="551"/>
      <c r="BD82" s="551"/>
      <c r="BE82" s="551"/>
      <c r="BF82" s="737">
        <f t="shared" ref="BF82:BF89" si="401">+BB82/AX82</f>
        <v>0</v>
      </c>
      <c r="BG82" s="737" t="e">
        <f t="shared" ref="BG82:BG89" si="402">+BC82/AY82</f>
        <v>#DIV/0!</v>
      </c>
      <c r="BH82" s="737" t="e">
        <f t="shared" ref="BH82:BH89" si="403">+BD82/AZ82</f>
        <v>#DIV/0!</v>
      </c>
      <c r="BI82" s="547" t="e">
        <f t="shared" ref="BI82:BI89" si="404">+BE82/BA82</f>
        <v>#DIV/0!</v>
      </c>
      <c r="BJ82" s="730">
        <f t="shared" si="335"/>
        <v>253348751.16142857</v>
      </c>
      <c r="BK82" s="544">
        <f t="shared" ref="BK82:BK89" si="405">+AH82+AI82+AJ82+AK82</f>
        <v>253026320.71857142</v>
      </c>
      <c r="BL82" s="553">
        <f t="shared" ref="BL82:BL89" si="406">+BK82/BJ82</f>
        <v>0.99872732570664335</v>
      </c>
      <c r="BM82" s="544">
        <f t="shared" ref="BM82:BM89" si="407">+AP82+AQ82+AR82+AS82</f>
        <v>221334668.43285716</v>
      </c>
      <c r="BN82" s="565">
        <f t="shared" ref="BN82:BN88" si="408">+BM82/BJ82</f>
        <v>0.87363631128312647</v>
      </c>
      <c r="BO82" s="548"/>
      <c r="BP82" s="552" t="s">
        <v>2356</v>
      </c>
      <c r="BQ82" s="552" t="s">
        <v>2346</v>
      </c>
      <c r="BR82" s="554" t="s">
        <v>2326</v>
      </c>
    </row>
    <row r="83" spans="1:70" ht="53.25" hidden="1" customHeight="1" x14ac:dyDescent="0.25">
      <c r="A83" s="539" t="s">
        <v>1998</v>
      </c>
      <c r="B83" s="550" t="s">
        <v>2077</v>
      </c>
      <c r="C83" s="554" t="s">
        <v>2094</v>
      </c>
      <c r="D83" s="554">
        <v>15</v>
      </c>
      <c r="E83" s="567">
        <v>25</v>
      </c>
      <c r="F83" s="567">
        <v>30</v>
      </c>
      <c r="G83" s="568">
        <v>30</v>
      </c>
      <c r="H83" s="722">
        <v>15</v>
      </c>
      <c r="I83" s="722">
        <v>0</v>
      </c>
      <c r="J83" s="572"/>
      <c r="K83" s="572"/>
      <c r="L83" s="541"/>
      <c r="M83" s="542"/>
      <c r="N83" s="542"/>
      <c r="O83" s="542"/>
      <c r="P83" s="543">
        <f t="shared" si="356"/>
        <v>1</v>
      </c>
      <c r="Q83" s="545"/>
      <c r="R83" s="545"/>
      <c r="S83" s="545"/>
      <c r="T83" s="637" t="s">
        <v>2118</v>
      </c>
      <c r="U83" s="629">
        <v>45657</v>
      </c>
      <c r="V83" s="544">
        <f t="shared" si="357"/>
        <v>100</v>
      </c>
      <c r="W83" s="544">
        <f t="shared" si="358"/>
        <v>15</v>
      </c>
      <c r="X83" s="547">
        <f t="shared" si="359"/>
        <v>0.15</v>
      </c>
      <c r="Y83" s="546">
        <v>0.14285714285714288</v>
      </c>
      <c r="Z83" s="546">
        <v>0.14285714285714288</v>
      </c>
      <c r="AA83" s="546"/>
      <c r="AB83" s="547"/>
      <c r="AC83" s="547"/>
      <c r="AD83" s="668">
        <f>+'Anexo 5.2 A'!BG78</f>
        <v>253348751.16142857</v>
      </c>
      <c r="AE83" s="730"/>
      <c r="AF83" s="730"/>
      <c r="AG83" s="730"/>
      <c r="AH83" s="675">
        <f>+'Anexo 5.2 A'!BH78</f>
        <v>253026320.71857142</v>
      </c>
      <c r="AI83" s="728"/>
      <c r="AJ83" s="727"/>
      <c r="AK83" s="727"/>
      <c r="AL83" s="549">
        <f t="shared" si="393"/>
        <v>0.99872732570664335</v>
      </c>
      <c r="AM83" s="549" t="e">
        <f t="shared" si="394"/>
        <v>#DIV/0!</v>
      </c>
      <c r="AN83" s="549" t="e">
        <f t="shared" si="395"/>
        <v>#DIV/0!</v>
      </c>
      <c r="AO83" s="549" t="e">
        <f t="shared" si="396"/>
        <v>#DIV/0!</v>
      </c>
      <c r="AP83" s="675">
        <f>+'Anexo 5.2 A'!BJ78</f>
        <v>221334668.43285716</v>
      </c>
      <c r="AQ83" s="675">
        <f>+'Anexo 5.2 A'!BK78</f>
        <v>0</v>
      </c>
      <c r="AR83" s="675">
        <f>+'Anexo 5.2 A'!BL78</f>
        <v>0</v>
      </c>
      <c r="AS83" s="675">
        <f>+'Anexo 5.2 A'!BM78</f>
        <v>0</v>
      </c>
      <c r="AT83" s="540">
        <f t="shared" si="397"/>
        <v>0.87363631128312647</v>
      </c>
      <c r="AU83" s="540" t="e">
        <f t="shared" si="398"/>
        <v>#DIV/0!</v>
      </c>
      <c r="AV83" s="540" t="e">
        <f t="shared" si="399"/>
        <v>#DIV/0!</v>
      </c>
      <c r="AW83" s="540" t="e">
        <f t="shared" si="400"/>
        <v>#DIV/0!</v>
      </c>
      <c r="AX83" s="676">
        <f t="shared" si="349"/>
        <v>31691652.285714269</v>
      </c>
      <c r="AY83" s="676">
        <f t="shared" si="390"/>
        <v>0</v>
      </c>
      <c r="AZ83" s="676">
        <f t="shared" si="391"/>
        <v>0</v>
      </c>
      <c r="BA83" s="676">
        <f t="shared" si="392"/>
        <v>0</v>
      </c>
      <c r="BB83" s="551"/>
      <c r="BC83" s="551"/>
      <c r="BD83" s="551"/>
      <c r="BE83" s="551"/>
      <c r="BF83" s="737">
        <f t="shared" si="401"/>
        <v>0</v>
      </c>
      <c r="BG83" s="737" t="e">
        <f t="shared" si="402"/>
        <v>#DIV/0!</v>
      </c>
      <c r="BH83" s="737" t="e">
        <f t="shared" si="403"/>
        <v>#DIV/0!</v>
      </c>
      <c r="BI83" s="547" t="e">
        <f t="shared" si="404"/>
        <v>#DIV/0!</v>
      </c>
      <c r="BJ83" s="730">
        <f t="shared" si="335"/>
        <v>253348751.16142857</v>
      </c>
      <c r="BK83" s="544">
        <f t="shared" si="405"/>
        <v>253026320.71857142</v>
      </c>
      <c r="BL83" s="553">
        <f t="shared" si="406"/>
        <v>0.99872732570664335</v>
      </c>
      <c r="BM83" s="544">
        <f t="shared" si="407"/>
        <v>221334668.43285716</v>
      </c>
      <c r="BN83" s="565">
        <f t="shared" si="408"/>
        <v>0.87363631128312647</v>
      </c>
      <c r="BO83" s="548"/>
      <c r="BP83" s="552" t="s">
        <v>2356</v>
      </c>
      <c r="BQ83" s="552" t="s">
        <v>2346</v>
      </c>
      <c r="BR83" s="554" t="s">
        <v>2326</v>
      </c>
    </row>
    <row r="84" spans="1:70" ht="53.25" hidden="1" customHeight="1" x14ac:dyDescent="0.25">
      <c r="A84" s="539" t="s">
        <v>1999</v>
      </c>
      <c r="B84" s="550" t="s">
        <v>2078</v>
      </c>
      <c r="C84" s="554" t="s">
        <v>2094</v>
      </c>
      <c r="D84" s="554">
        <v>15</v>
      </c>
      <c r="E84" s="567">
        <v>25</v>
      </c>
      <c r="F84" s="567">
        <v>30</v>
      </c>
      <c r="G84" s="568">
        <v>30</v>
      </c>
      <c r="H84" s="722">
        <v>15</v>
      </c>
      <c r="I84" s="722">
        <v>0</v>
      </c>
      <c r="J84" s="572"/>
      <c r="K84" s="572"/>
      <c r="L84" s="541"/>
      <c r="M84" s="542"/>
      <c r="N84" s="542"/>
      <c r="O84" s="542"/>
      <c r="P84" s="543">
        <f t="shared" si="356"/>
        <v>1</v>
      </c>
      <c r="Q84" s="545"/>
      <c r="R84" s="545"/>
      <c r="S84" s="545"/>
      <c r="T84" s="637" t="s">
        <v>2119</v>
      </c>
      <c r="U84" s="629">
        <v>45657</v>
      </c>
      <c r="V84" s="544">
        <f t="shared" si="357"/>
        <v>100</v>
      </c>
      <c r="W84" s="544">
        <f t="shared" si="358"/>
        <v>15</v>
      </c>
      <c r="X84" s="547">
        <f t="shared" si="359"/>
        <v>0.15</v>
      </c>
      <c r="Y84" s="546">
        <v>0.14285714285714288</v>
      </c>
      <c r="Z84" s="546">
        <v>0.14285714285714288</v>
      </c>
      <c r="AA84" s="546"/>
      <c r="AB84" s="547"/>
      <c r="AC84" s="547"/>
      <c r="AD84" s="668">
        <f>+'Anexo 5.2 A'!BG79</f>
        <v>253348751.16142857</v>
      </c>
      <c r="AE84" s="730"/>
      <c r="AF84" s="730"/>
      <c r="AG84" s="730"/>
      <c r="AH84" s="675">
        <f>+'Anexo 5.2 A'!BH79</f>
        <v>253026320.71857142</v>
      </c>
      <c r="AI84" s="728"/>
      <c r="AJ84" s="727"/>
      <c r="AK84" s="727"/>
      <c r="AL84" s="549">
        <f t="shared" si="393"/>
        <v>0.99872732570664335</v>
      </c>
      <c r="AM84" s="549" t="e">
        <f t="shared" si="394"/>
        <v>#DIV/0!</v>
      </c>
      <c r="AN84" s="549" t="e">
        <f t="shared" si="395"/>
        <v>#DIV/0!</v>
      </c>
      <c r="AO84" s="549" t="e">
        <f t="shared" si="396"/>
        <v>#DIV/0!</v>
      </c>
      <c r="AP84" s="675">
        <f>+'Anexo 5.2 A'!BJ79</f>
        <v>221334668.43285716</v>
      </c>
      <c r="AQ84" s="675">
        <f>+'Anexo 5.2 A'!BK79</f>
        <v>0</v>
      </c>
      <c r="AR84" s="675">
        <f>+'Anexo 5.2 A'!BL79</f>
        <v>0</v>
      </c>
      <c r="AS84" s="675">
        <f>+'Anexo 5.2 A'!BM79</f>
        <v>0</v>
      </c>
      <c r="AT84" s="540">
        <f t="shared" si="397"/>
        <v>0.87363631128312647</v>
      </c>
      <c r="AU84" s="540" t="e">
        <f t="shared" si="398"/>
        <v>#DIV/0!</v>
      </c>
      <c r="AV84" s="540" t="e">
        <f t="shared" si="399"/>
        <v>#DIV/0!</v>
      </c>
      <c r="AW84" s="540" t="e">
        <f t="shared" si="400"/>
        <v>#DIV/0!</v>
      </c>
      <c r="AX84" s="676">
        <f t="shared" si="349"/>
        <v>31691652.285714269</v>
      </c>
      <c r="AY84" s="676">
        <f t="shared" si="390"/>
        <v>0</v>
      </c>
      <c r="AZ84" s="676">
        <f t="shared" si="391"/>
        <v>0</v>
      </c>
      <c r="BA84" s="676">
        <f t="shared" si="392"/>
        <v>0</v>
      </c>
      <c r="BB84" s="551"/>
      <c r="BC84" s="551"/>
      <c r="BD84" s="551"/>
      <c r="BE84" s="551"/>
      <c r="BF84" s="737">
        <f t="shared" si="401"/>
        <v>0</v>
      </c>
      <c r="BG84" s="737" t="e">
        <f t="shared" si="402"/>
        <v>#DIV/0!</v>
      </c>
      <c r="BH84" s="737" t="e">
        <f t="shared" si="403"/>
        <v>#DIV/0!</v>
      </c>
      <c r="BI84" s="547" t="e">
        <f t="shared" si="404"/>
        <v>#DIV/0!</v>
      </c>
      <c r="BJ84" s="730">
        <f t="shared" si="335"/>
        <v>253348751.16142857</v>
      </c>
      <c r="BK84" s="544">
        <f t="shared" si="405"/>
        <v>253026320.71857142</v>
      </c>
      <c r="BL84" s="553">
        <f t="shared" si="406"/>
        <v>0.99872732570664335</v>
      </c>
      <c r="BM84" s="544">
        <f t="shared" si="407"/>
        <v>221334668.43285716</v>
      </c>
      <c r="BN84" s="565">
        <f t="shared" si="408"/>
        <v>0.87363631128312647</v>
      </c>
      <c r="BO84" s="548"/>
      <c r="BP84" s="552" t="s">
        <v>2356</v>
      </c>
      <c r="BQ84" s="552" t="s">
        <v>2346</v>
      </c>
      <c r="BR84" s="554" t="s">
        <v>2326</v>
      </c>
    </row>
    <row r="85" spans="1:70" ht="53.25" hidden="1" customHeight="1" x14ac:dyDescent="0.25">
      <c r="A85" s="539" t="s">
        <v>2000</v>
      </c>
      <c r="B85" s="550" t="s">
        <v>2079</v>
      </c>
      <c r="C85" s="554" t="s">
        <v>2093</v>
      </c>
      <c r="D85" s="554">
        <v>1</v>
      </c>
      <c r="E85" s="567">
        <v>1</v>
      </c>
      <c r="F85" s="567">
        <v>1</v>
      </c>
      <c r="G85" s="568">
        <v>1</v>
      </c>
      <c r="H85" s="599">
        <v>1</v>
      </c>
      <c r="I85" s="722">
        <v>0</v>
      </c>
      <c r="J85" s="572"/>
      <c r="K85" s="572"/>
      <c r="L85" s="541"/>
      <c r="M85" s="542"/>
      <c r="N85" s="542"/>
      <c r="O85" s="542"/>
      <c r="P85" s="543">
        <f t="shared" si="356"/>
        <v>1</v>
      </c>
      <c r="Q85" s="545"/>
      <c r="R85" s="545"/>
      <c r="S85" s="545"/>
      <c r="T85" s="637" t="s">
        <v>2120</v>
      </c>
      <c r="U85" s="629">
        <v>45657</v>
      </c>
      <c r="V85" s="544">
        <f t="shared" si="357"/>
        <v>4</v>
      </c>
      <c r="W85" s="544">
        <f t="shared" si="358"/>
        <v>1</v>
      </c>
      <c r="X85" s="547">
        <f t="shared" si="359"/>
        <v>0.25</v>
      </c>
      <c r="Y85" s="546">
        <v>0.14285714285714288</v>
      </c>
      <c r="Z85" s="546">
        <v>0.14285714285714288</v>
      </c>
      <c r="AA85" s="546"/>
      <c r="AB85" s="547"/>
      <c r="AC85" s="547"/>
      <c r="AD85" s="668">
        <f>+'Anexo 5.2 A'!BG80</f>
        <v>253348751.16142857</v>
      </c>
      <c r="AE85" s="730"/>
      <c r="AF85" s="730"/>
      <c r="AG85" s="730"/>
      <c r="AH85" s="675">
        <f>+'Anexo 5.2 A'!BH80</f>
        <v>253026320.71857142</v>
      </c>
      <c r="AI85" s="728"/>
      <c r="AJ85" s="727"/>
      <c r="AK85" s="727"/>
      <c r="AL85" s="549">
        <f t="shared" si="393"/>
        <v>0.99872732570664335</v>
      </c>
      <c r="AM85" s="549" t="e">
        <f t="shared" si="394"/>
        <v>#DIV/0!</v>
      </c>
      <c r="AN85" s="549" t="e">
        <f t="shared" si="395"/>
        <v>#DIV/0!</v>
      </c>
      <c r="AO85" s="549" t="e">
        <f t="shared" si="396"/>
        <v>#DIV/0!</v>
      </c>
      <c r="AP85" s="675">
        <f>+'Anexo 5.2 A'!BJ80</f>
        <v>221334668.43285716</v>
      </c>
      <c r="AQ85" s="675">
        <f>+'Anexo 5.2 A'!BK80</f>
        <v>0</v>
      </c>
      <c r="AR85" s="675">
        <f>+'Anexo 5.2 A'!BL80</f>
        <v>0</v>
      </c>
      <c r="AS85" s="675">
        <f>+'Anexo 5.2 A'!BM80</f>
        <v>0</v>
      </c>
      <c r="AT85" s="540">
        <f t="shared" si="397"/>
        <v>0.87363631128312647</v>
      </c>
      <c r="AU85" s="540" t="e">
        <f t="shared" si="398"/>
        <v>#DIV/0!</v>
      </c>
      <c r="AV85" s="540" t="e">
        <f t="shared" si="399"/>
        <v>#DIV/0!</v>
      </c>
      <c r="AW85" s="540" t="e">
        <f t="shared" si="400"/>
        <v>#DIV/0!</v>
      </c>
      <c r="AX85" s="676">
        <f t="shared" si="349"/>
        <v>31691652.285714269</v>
      </c>
      <c r="AY85" s="676">
        <f t="shared" si="390"/>
        <v>0</v>
      </c>
      <c r="AZ85" s="676">
        <f t="shared" si="391"/>
        <v>0</v>
      </c>
      <c r="BA85" s="676">
        <f t="shared" si="392"/>
        <v>0</v>
      </c>
      <c r="BB85" s="551"/>
      <c r="BC85" s="551"/>
      <c r="BD85" s="551"/>
      <c r="BE85" s="551"/>
      <c r="BF85" s="737">
        <f t="shared" si="401"/>
        <v>0</v>
      </c>
      <c r="BG85" s="737" t="e">
        <f t="shared" si="402"/>
        <v>#DIV/0!</v>
      </c>
      <c r="BH85" s="737" t="e">
        <f t="shared" si="403"/>
        <v>#DIV/0!</v>
      </c>
      <c r="BI85" s="547" t="e">
        <f t="shared" si="404"/>
        <v>#DIV/0!</v>
      </c>
      <c r="BJ85" s="730">
        <f t="shared" si="335"/>
        <v>253348751.16142857</v>
      </c>
      <c r="BK85" s="544">
        <f t="shared" si="405"/>
        <v>253026320.71857142</v>
      </c>
      <c r="BL85" s="553">
        <f t="shared" si="406"/>
        <v>0.99872732570664335</v>
      </c>
      <c r="BM85" s="544">
        <f t="shared" si="407"/>
        <v>221334668.43285716</v>
      </c>
      <c r="BN85" s="565">
        <f t="shared" si="408"/>
        <v>0.87363631128312647</v>
      </c>
      <c r="BO85" s="548"/>
      <c r="BP85" s="552" t="s">
        <v>2356</v>
      </c>
      <c r="BQ85" s="552" t="s">
        <v>2346</v>
      </c>
      <c r="BR85" s="554" t="s">
        <v>2326</v>
      </c>
    </row>
    <row r="86" spans="1:70" ht="53.25" hidden="1" customHeight="1" x14ac:dyDescent="0.25">
      <c r="A86" s="539" t="s">
        <v>2001</v>
      </c>
      <c r="B86" s="550" t="s">
        <v>2078</v>
      </c>
      <c r="C86" s="554" t="s">
        <v>2094</v>
      </c>
      <c r="D86" s="554">
        <v>15</v>
      </c>
      <c r="E86" s="567">
        <v>25</v>
      </c>
      <c r="F86" s="567">
        <v>30</v>
      </c>
      <c r="G86" s="568">
        <v>30</v>
      </c>
      <c r="H86" s="722">
        <v>15</v>
      </c>
      <c r="I86" s="722">
        <v>0</v>
      </c>
      <c r="J86" s="572"/>
      <c r="K86" s="572"/>
      <c r="L86" s="541"/>
      <c r="M86" s="542"/>
      <c r="N86" s="542"/>
      <c r="O86" s="542"/>
      <c r="P86" s="543">
        <f t="shared" si="356"/>
        <v>1</v>
      </c>
      <c r="Q86" s="545"/>
      <c r="R86" s="545"/>
      <c r="S86" s="545"/>
      <c r="T86" s="637" t="s">
        <v>2121</v>
      </c>
      <c r="U86" s="629">
        <v>45657</v>
      </c>
      <c r="V86" s="544">
        <f t="shared" si="357"/>
        <v>100</v>
      </c>
      <c r="W86" s="544">
        <f t="shared" si="358"/>
        <v>15</v>
      </c>
      <c r="X86" s="547">
        <f t="shared" si="359"/>
        <v>0.15</v>
      </c>
      <c r="Y86" s="546">
        <v>0.14285714285714288</v>
      </c>
      <c r="Z86" s="546">
        <v>0.14285714285714288</v>
      </c>
      <c r="AA86" s="546"/>
      <c r="AB86" s="547"/>
      <c r="AC86" s="547"/>
      <c r="AD86" s="668">
        <f>+'Anexo 5.2 A'!BG81</f>
        <v>253348751.16142857</v>
      </c>
      <c r="AE86" s="730"/>
      <c r="AF86" s="730"/>
      <c r="AG86" s="730"/>
      <c r="AH86" s="675">
        <f>+'Anexo 5.2 A'!BH81</f>
        <v>253026320.71857142</v>
      </c>
      <c r="AI86" s="728"/>
      <c r="AJ86" s="727"/>
      <c r="AK86" s="727"/>
      <c r="AL86" s="549">
        <f t="shared" si="393"/>
        <v>0.99872732570664335</v>
      </c>
      <c r="AM86" s="549" t="e">
        <f t="shared" si="394"/>
        <v>#DIV/0!</v>
      </c>
      <c r="AN86" s="549" t="e">
        <f t="shared" si="395"/>
        <v>#DIV/0!</v>
      </c>
      <c r="AO86" s="549" t="e">
        <f t="shared" si="396"/>
        <v>#DIV/0!</v>
      </c>
      <c r="AP86" s="675">
        <f>+'Anexo 5.2 A'!BJ81</f>
        <v>221334668.43285716</v>
      </c>
      <c r="AQ86" s="675">
        <f>+'Anexo 5.2 A'!BK81</f>
        <v>0</v>
      </c>
      <c r="AR86" s="675">
        <f>+'Anexo 5.2 A'!BL81</f>
        <v>0</v>
      </c>
      <c r="AS86" s="675">
        <f>+'Anexo 5.2 A'!BM81</f>
        <v>0</v>
      </c>
      <c r="AT86" s="540">
        <f t="shared" si="397"/>
        <v>0.87363631128312647</v>
      </c>
      <c r="AU86" s="540" t="e">
        <f t="shared" si="398"/>
        <v>#DIV/0!</v>
      </c>
      <c r="AV86" s="540" t="e">
        <f t="shared" si="399"/>
        <v>#DIV/0!</v>
      </c>
      <c r="AW86" s="540" t="e">
        <f t="shared" si="400"/>
        <v>#DIV/0!</v>
      </c>
      <c r="AX86" s="676">
        <f t="shared" si="349"/>
        <v>31691652.285714269</v>
      </c>
      <c r="AY86" s="676">
        <f t="shared" si="390"/>
        <v>0</v>
      </c>
      <c r="AZ86" s="676">
        <f t="shared" si="391"/>
        <v>0</v>
      </c>
      <c r="BA86" s="676">
        <f t="shared" si="392"/>
        <v>0</v>
      </c>
      <c r="BB86" s="551"/>
      <c r="BC86" s="551"/>
      <c r="BD86" s="551"/>
      <c r="BE86" s="551"/>
      <c r="BF86" s="737">
        <f t="shared" si="401"/>
        <v>0</v>
      </c>
      <c r="BG86" s="737" t="e">
        <f t="shared" si="402"/>
        <v>#DIV/0!</v>
      </c>
      <c r="BH86" s="737" t="e">
        <f t="shared" si="403"/>
        <v>#DIV/0!</v>
      </c>
      <c r="BI86" s="547" t="e">
        <f t="shared" si="404"/>
        <v>#DIV/0!</v>
      </c>
      <c r="BJ86" s="730">
        <f t="shared" si="335"/>
        <v>253348751.16142857</v>
      </c>
      <c r="BK86" s="544">
        <f t="shared" si="405"/>
        <v>253026320.71857142</v>
      </c>
      <c r="BL86" s="553">
        <f t="shared" si="406"/>
        <v>0.99872732570664335</v>
      </c>
      <c r="BM86" s="544">
        <f t="shared" si="407"/>
        <v>221334668.43285716</v>
      </c>
      <c r="BN86" s="565">
        <f t="shared" si="408"/>
        <v>0.87363631128312647</v>
      </c>
      <c r="BO86" s="548"/>
      <c r="BP86" s="552" t="s">
        <v>2356</v>
      </c>
      <c r="BQ86" s="552" t="s">
        <v>2346</v>
      </c>
      <c r="BR86" s="554" t="s">
        <v>2326</v>
      </c>
    </row>
    <row r="87" spans="1:70" ht="53.25" hidden="1" customHeight="1" x14ac:dyDescent="0.25">
      <c r="A87" s="539" t="s">
        <v>2002</v>
      </c>
      <c r="B87" s="550" t="s">
        <v>2080</v>
      </c>
      <c r="C87" s="554" t="s">
        <v>2094</v>
      </c>
      <c r="D87" s="554">
        <v>15</v>
      </c>
      <c r="E87" s="567">
        <v>25</v>
      </c>
      <c r="F87" s="567">
        <v>30</v>
      </c>
      <c r="G87" s="568">
        <v>30</v>
      </c>
      <c r="H87" s="722">
        <v>15</v>
      </c>
      <c r="I87" s="722">
        <v>0</v>
      </c>
      <c r="J87" s="572"/>
      <c r="K87" s="572"/>
      <c r="L87" s="541"/>
      <c r="M87" s="542"/>
      <c r="N87" s="542"/>
      <c r="O87" s="542"/>
      <c r="P87" s="543">
        <f t="shared" si="356"/>
        <v>1</v>
      </c>
      <c r="Q87" s="545"/>
      <c r="R87" s="545"/>
      <c r="S87" s="545"/>
      <c r="T87" s="637" t="s">
        <v>2122</v>
      </c>
      <c r="U87" s="629">
        <v>45657</v>
      </c>
      <c r="V87" s="544">
        <f t="shared" si="357"/>
        <v>100</v>
      </c>
      <c r="W87" s="544">
        <f t="shared" si="358"/>
        <v>15</v>
      </c>
      <c r="X87" s="547">
        <f t="shared" si="359"/>
        <v>0.15</v>
      </c>
      <c r="Y87" s="546">
        <v>0.14285714285714288</v>
      </c>
      <c r="Z87" s="546">
        <v>0.14285714285714288</v>
      </c>
      <c r="AA87" s="546"/>
      <c r="AB87" s="547"/>
      <c r="AC87" s="547"/>
      <c r="AD87" s="668">
        <f>+'Anexo 5.2 A'!BG82</f>
        <v>253348751.16142857</v>
      </c>
      <c r="AE87" s="730"/>
      <c r="AF87" s="730"/>
      <c r="AG87" s="730"/>
      <c r="AH87" s="675">
        <f>+'Anexo 5.2 A'!BH82</f>
        <v>253026320.71857142</v>
      </c>
      <c r="AI87" s="728"/>
      <c r="AJ87" s="727"/>
      <c r="AK87" s="727"/>
      <c r="AL87" s="549">
        <f t="shared" si="393"/>
        <v>0.99872732570664335</v>
      </c>
      <c r="AM87" s="549" t="e">
        <f t="shared" si="394"/>
        <v>#DIV/0!</v>
      </c>
      <c r="AN87" s="549" t="e">
        <f t="shared" si="395"/>
        <v>#DIV/0!</v>
      </c>
      <c r="AO87" s="549" t="e">
        <f t="shared" si="396"/>
        <v>#DIV/0!</v>
      </c>
      <c r="AP87" s="675">
        <f>+'Anexo 5.2 A'!BJ82</f>
        <v>221334668.43285716</v>
      </c>
      <c r="AQ87" s="675">
        <f>+'Anexo 5.2 A'!BK82</f>
        <v>0</v>
      </c>
      <c r="AR87" s="675">
        <f>+'Anexo 5.2 A'!BL82</f>
        <v>0</v>
      </c>
      <c r="AS87" s="675">
        <f>+'Anexo 5.2 A'!BM82</f>
        <v>0</v>
      </c>
      <c r="AT87" s="540">
        <f t="shared" si="397"/>
        <v>0.87363631128312647</v>
      </c>
      <c r="AU87" s="540" t="e">
        <f t="shared" si="398"/>
        <v>#DIV/0!</v>
      </c>
      <c r="AV87" s="540" t="e">
        <f t="shared" si="399"/>
        <v>#DIV/0!</v>
      </c>
      <c r="AW87" s="540" t="e">
        <f t="shared" si="400"/>
        <v>#DIV/0!</v>
      </c>
      <c r="AX87" s="676">
        <f t="shared" si="349"/>
        <v>31691652.285714269</v>
      </c>
      <c r="AY87" s="676">
        <f t="shared" si="390"/>
        <v>0</v>
      </c>
      <c r="AZ87" s="676">
        <f t="shared" si="391"/>
        <v>0</v>
      </c>
      <c r="BA87" s="676">
        <f t="shared" si="392"/>
        <v>0</v>
      </c>
      <c r="BB87" s="551"/>
      <c r="BC87" s="551"/>
      <c r="BD87" s="551"/>
      <c r="BE87" s="551"/>
      <c r="BF87" s="737">
        <f t="shared" si="401"/>
        <v>0</v>
      </c>
      <c r="BG87" s="737" t="e">
        <f t="shared" si="402"/>
        <v>#DIV/0!</v>
      </c>
      <c r="BH87" s="737" t="e">
        <f t="shared" si="403"/>
        <v>#DIV/0!</v>
      </c>
      <c r="BI87" s="547" t="e">
        <f t="shared" si="404"/>
        <v>#DIV/0!</v>
      </c>
      <c r="BJ87" s="730">
        <f t="shared" si="335"/>
        <v>253348751.16142857</v>
      </c>
      <c r="BK87" s="544">
        <f t="shared" si="405"/>
        <v>253026320.71857142</v>
      </c>
      <c r="BL87" s="553">
        <f t="shared" si="406"/>
        <v>0.99872732570664335</v>
      </c>
      <c r="BM87" s="544">
        <f t="shared" si="407"/>
        <v>221334668.43285716</v>
      </c>
      <c r="BN87" s="565">
        <f t="shared" si="408"/>
        <v>0.87363631128312647</v>
      </c>
      <c r="BO87" s="548"/>
      <c r="BP87" s="552" t="s">
        <v>2356</v>
      </c>
      <c r="BQ87" s="552" t="s">
        <v>2346</v>
      </c>
      <c r="BR87" s="554" t="s">
        <v>2326</v>
      </c>
    </row>
    <row r="88" spans="1:70" s="645" customFormat="1" ht="53.25" hidden="1" customHeight="1" x14ac:dyDescent="0.25">
      <c r="A88" s="609" t="s">
        <v>2003</v>
      </c>
      <c r="B88" s="609"/>
      <c r="C88" s="610"/>
      <c r="D88" s="534"/>
      <c r="E88" s="535"/>
      <c r="F88" s="535"/>
      <c r="G88" s="535"/>
      <c r="H88" s="535"/>
      <c r="I88" s="535"/>
      <c r="J88" s="535"/>
      <c r="K88" s="535"/>
      <c r="L88" s="535"/>
      <c r="M88" s="535"/>
      <c r="N88" s="535"/>
      <c r="O88" s="535"/>
      <c r="P88" s="536">
        <f>+SUMPRODUCT(P89:P98,Z89:Z98)</f>
        <v>1</v>
      </c>
      <c r="Q88" s="646"/>
      <c r="R88" s="646"/>
      <c r="S88" s="646"/>
      <c r="T88" s="663"/>
      <c r="U88" s="655"/>
      <c r="V88" s="653">
        <f t="shared" si="357"/>
        <v>0</v>
      </c>
      <c r="W88" s="653">
        <f t="shared" si="358"/>
        <v>0</v>
      </c>
      <c r="X88" s="564">
        <f>+SUMPRODUCT(X89:X98,Y89:Y98)</f>
        <v>0.25</v>
      </c>
      <c r="Y88" s="538">
        <v>0.2</v>
      </c>
      <c r="Z88" s="538">
        <v>0.2</v>
      </c>
      <c r="AA88" s="535"/>
      <c r="AB88" s="535"/>
      <c r="AC88" s="535"/>
      <c r="AD88" s="667">
        <f>SUM(AD89:AD98)</f>
        <v>3366068995.2999997</v>
      </c>
      <c r="AE88" s="667">
        <f t="shared" ref="AE88:AG88" si="409">SUM(AE89:AE98)</f>
        <v>0</v>
      </c>
      <c r="AF88" s="667">
        <f t="shared" si="409"/>
        <v>0</v>
      </c>
      <c r="AG88" s="667">
        <f t="shared" si="409"/>
        <v>0</v>
      </c>
      <c r="AH88" s="667">
        <f>SUM(AH89:AH98)</f>
        <v>3199161887.6399994</v>
      </c>
      <c r="AI88" s="667">
        <f t="shared" ref="AI88:AK88" si="410">SUM(AI89:AI98)</f>
        <v>0</v>
      </c>
      <c r="AJ88" s="667">
        <f t="shared" si="410"/>
        <v>0</v>
      </c>
      <c r="AK88" s="667">
        <f t="shared" si="410"/>
        <v>0</v>
      </c>
      <c r="AL88" s="538">
        <f t="shared" si="393"/>
        <v>0.95041482872363858</v>
      </c>
      <c r="AM88" s="538" t="e">
        <f t="shared" si="394"/>
        <v>#DIV/0!</v>
      </c>
      <c r="AN88" s="538" t="e">
        <f t="shared" si="395"/>
        <v>#DIV/0!</v>
      </c>
      <c r="AO88" s="538" t="e">
        <f t="shared" si="396"/>
        <v>#DIV/0!</v>
      </c>
      <c r="AP88" s="667">
        <f t="shared" ref="AP88" si="411">SUM(AP89:AP98)</f>
        <v>1072285666.2300001</v>
      </c>
      <c r="AQ88" s="667">
        <f t="shared" ref="AQ88" si="412">SUM(AQ89:AQ98)</f>
        <v>0</v>
      </c>
      <c r="AR88" s="667">
        <f t="shared" ref="AR88" si="413">SUM(AR89:AR98)</f>
        <v>0</v>
      </c>
      <c r="AS88" s="667">
        <f t="shared" ref="AS88" si="414">SUM(AS89:AS98)</f>
        <v>0</v>
      </c>
      <c r="AT88" s="538">
        <f t="shared" si="397"/>
        <v>0.31855724518042239</v>
      </c>
      <c r="AU88" s="538" t="e">
        <f t="shared" si="398"/>
        <v>#DIV/0!</v>
      </c>
      <c r="AV88" s="538" t="e">
        <f t="shared" si="399"/>
        <v>#DIV/0!</v>
      </c>
      <c r="AW88" s="538" t="e">
        <f t="shared" si="400"/>
        <v>#DIV/0!</v>
      </c>
      <c r="AX88" s="667">
        <f>SUM(AX89:AX98)</f>
        <v>2126876221.4099991</v>
      </c>
      <c r="AY88" s="667">
        <f t="shared" ref="AY88:BA88" si="415">SUM(AY89:AY98)</f>
        <v>0</v>
      </c>
      <c r="AZ88" s="667">
        <f t="shared" si="415"/>
        <v>0</v>
      </c>
      <c r="BA88" s="667">
        <f t="shared" si="415"/>
        <v>0</v>
      </c>
      <c r="BB88" s="667">
        <f t="shared" ref="BB88" si="416">SUM(BB89:BB98)</f>
        <v>0</v>
      </c>
      <c r="BC88" s="667">
        <f t="shared" ref="BC88" si="417">SUM(BC89:BC98)</f>
        <v>0</v>
      </c>
      <c r="BD88" s="667">
        <f t="shared" ref="BD88" si="418">SUM(BD89:BD98)</f>
        <v>0</v>
      </c>
      <c r="BE88" s="667">
        <f t="shared" ref="BE88" si="419">SUM(BE89:BE98)</f>
        <v>0</v>
      </c>
      <c r="BF88" s="733">
        <f t="shared" si="401"/>
        <v>0</v>
      </c>
      <c r="BG88" s="733" t="e">
        <f t="shared" si="402"/>
        <v>#DIV/0!</v>
      </c>
      <c r="BH88" s="733" t="e">
        <f t="shared" si="403"/>
        <v>#DIV/0!</v>
      </c>
      <c r="BI88" s="536" t="e">
        <f t="shared" si="404"/>
        <v>#DIV/0!</v>
      </c>
      <c r="BJ88" s="537">
        <f t="shared" si="335"/>
        <v>3366068995.2999997</v>
      </c>
      <c r="BK88" s="537">
        <f t="shared" si="405"/>
        <v>3199161887.6399994</v>
      </c>
      <c r="BL88" s="536">
        <f t="shared" si="406"/>
        <v>0.95041482872363858</v>
      </c>
      <c r="BM88" s="537">
        <f t="shared" si="407"/>
        <v>1072285666.2300001</v>
      </c>
      <c r="BN88" s="536">
        <f t="shared" si="408"/>
        <v>0.31855724518042239</v>
      </c>
      <c r="BO88" s="650"/>
      <c r="BP88" s="650"/>
      <c r="BQ88" s="651"/>
      <c r="BR88" s="652"/>
    </row>
    <row r="89" spans="1:70" ht="53.25" hidden="1" customHeight="1" x14ac:dyDescent="0.25">
      <c r="A89" s="601" t="s">
        <v>2004</v>
      </c>
      <c r="B89" s="602" t="s">
        <v>2081</v>
      </c>
      <c r="C89" s="603" t="s">
        <v>2093</v>
      </c>
      <c r="D89" s="598">
        <v>0</v>
      </c>
      <c r="E89" s="740">
        <v>1</v>
      </c>
      <c r="F89" s="740">
        <v>0</v>
      </c>
      <c r="G89" s="741">
        <v>0</v>
      </c>
      <c r="H89" s="757">
        <v>0</v>
      </c>
      <c r="I89" s="723">
        <v>0</v>
      </c>
      <c r="J89" s="541"/>
      <c r="K89" s="541"/>
      <c r="L89" s="541"/>
      <c r="M89" s="542"/>
      <c r="N89" s="542"/>
      <c r="O89" s="542"/>
      <c r="P89" s="540" t="s">
        <v>2142</v>
      </c>
      <c r="Q89" s="545"/>
      <c r="R89" s="545"/>
      <c r="S89" s="545"/>
      <c r="T89" s="540" t="s">
        <v>2142</v>
      </c>
      <c r="U89" s="629">
        <v>45657</v>
      </c>
      <c r="V89" s="544">
        <f t="shared" si="357"/>
        <v>1</v>
      </c>
      <c r="W89" s="544">
        <f t="shared" si="358"/>
        <v>0</v>
      </c>
      <c r="X89" s="547">
        <f t="shared" si="359"/>
        <v>0</v>
      </c>
      <c r="Y89" s="546" t="s">
        <v>2142</v>
      </c>
      <c r="Z89" s="549" t="s">
        <v>2142</v>
      </c>
      <c r="AA89" s="546"/>
      <c r="AB89" s="547"/>
      <c r="AC89" s="547"/>
      <c r="AD89" s="668">
        <f>+'Anexo 5.2 A'!BG84</f>
        <v>0</v>
      </c>
      <c r="AE89" s="730"/>
      <c r="AF89" s="730"/>
      <c r="AG89" s="730"/>
      <c r="AH89" s="675">
        <f>+'Anexo 5.2 A'!BH84</f>
        <v>0</v>
      </c>
      <c r="AI89" s="728"/>
      <c r="AJ89" s="743"/>
      <c r="AK89" s="743"/>
      <c r="AL89" s="549" t="e">
        <f t="shared" si="393"/>
        <v>#DIV/0!</v>
      </c>
      <c r="AM89" s="549" t="e">
        <f t="shared" si="394"/>
        <v>#DIV/0!</v>
      </c>
      <c r="AN89" s="549" t="e">
        <f t="shared" si="395"/>
        <v>#DIV/0!</v>
      </c>
      <c r="AO89" s="549" t="e">
        <f t="shared" si="396"/>
        <v>#DIV/0!</v>
      </c>
      <c r="AP89" s="675">
        <f>+'Anexo 5.2 A'!BJ84</f>
        <v>0</v>
      </c>
      <c r="AQ89" s="675">
        <f>+'Anexo 5.2 A'!BK84</f>
        <v>0</v>
      </c>
      <c r="AR89" s="675">
        <f>+'Anexo 5.2 A'!BL84</f>
        <v>0</v>
      </c>
      <c r="AS89" s="675">
        <f>+'Anexo 5.2 A'!BM84</f>
        <v>0</v>
      </c>
      <c r="AT89" s="540" t="e">
        <f t="shared" si="397"/>
        <v>#DIV/0!</v>
      </c>
      <c r="AU89" s="540" t="e">
        <f t="shared" si="398"/>
        <v>#DIV/0!</v>
      </c>
      <c r="AV89" s="540" t="e">
        <f t="shared" si="399"/>
        <v>#DIV/0!</v>
      </c>
      <c r="AW89" s="540" t="e">
        <f t="shared" si="400"/>
        <v>#DIV/0!</v>
      </c>
      <c r="AX89" s="676">
        <f t="shared" si="349"/>
        <v>0</v>
      </c>
      <c r="AY89" s="676">
        <f t="shared" ref="AY89:AY98" si="420">+AI89-AQ89</f>
        <v>0</v>
      </c>
      <c r="AZ89" s="676">
        <f t="shared" ref="AZ89:AZ98" si="421">+AJ89-AR89</f>
        <v>0</v>
      </c>
      <c r="BA89" s="676">
        <f t="shared" ref="BA89:BA98" si="422">+AK89-AS89</f>
        <v>0</v>
      </c>
      <c r="BB89" s="551"/>
      <c r="BC89" s="551"/>
      <c r="BD89" s="551"/>
      <c r="BE89" s="551"/>
      <c r="BF89" s="737" t="e">
        <f t="shared" si="401"/>
        <v>#DIV/0!</v>
      </c>
      <c r="BG89" s="737" t="e">
        <f t="shared" si="402"/>
        <v>#DIV/0!</v>
      </c>
      <c r="BH89" s="737" t="e">
        <f t="shared" si="403"/>
        <v>#DIV/0!</v>
      </c>
      <c r="BI89" s="547" t="e">
        <f t="shared" si="404"/>
        <v>#DIV/0!</v>
      </c>
      <c r="BJ89" s="730">
        <f t="shared" si="335"/>
        <v>0</v>
      </c>
      <c r="BK89" s="544">
        <f t="shared" si="405"/>
        <v>0</v>
      </c>
      <c r="BL89" s="553" t="e">
        <f t="shared" si="406"/>
        <v>#DIV/0!</v>
      </c>
      <c r="BM89" s="544">
        <f t="shared" si="407"/>
        <v>0</v>
      </c>
      <c r="BN89" s="565" t="e">
        <f>+BM89/BJ89</f>
        <v>#DIV/0!</v>
      </c>
      <c r="BO89" s="548"/>
      <c r="BP89" s="552" t="s">
        <v>2357</v>
      </c>
      <c r="BQ89" s="552" t="s">
        <v>34</v>
      </c>
      <c r="BR89" s="554" t="s">
        <v>2326</v>
      </c>
    </row>
    <row r="90" spans="1:70" ht="53.25" hidden="1" customHeight="1" x14ac:dyDescent="0.25">
      <c r="A90" s="601" t="s">
        <v>2005</v>
      </c>
      <c r="B90" s="602" t="s">
        <v>2082</v>
      </c>
      <c r="C90" s="603" t="s">
        <v>2093</v>
      </c>
      <c r="D90" s="598">
        <v>0</v>
      </c>
      <c r="E90" s="740">
        <v>1</v>
      </c>
      <c r="F90" s="740">
        <v>0</v>
      </c>
      <c r="G90" s="741">
        <v>0</v>
      </c>
      <c r="H90" s="757">
        <v>0</v>
      </c>
      <c r="I90" s="723">
        <v>0</v>
      </c>
      <c r="J90" s="541"/>
      <c r="K90" s="541"/>
      <c r="L90" s="541"/>
      <c r="M90" s="542"/>
      <c r="N90" s="542"/>
      <c r="O90" s="542"/>
      <c r="P90" s="540" t="s">
        <v>2142</v>
      </c>
      <c r="Q90" s="545"/>
      <c r="R90" s="545"/>
      <c r="S90" s="545"/>
      <c r="T90" s="540" t="s">
        <v>2142</v>
      </c>
      <c r="U90" s="629">
        <v>45657</v>
      </c>
      <c r="V90" s="544">
        <f t="shared" si="357"/>
        <v>1</v>
      </c>
      <c r="W90" s="544">
        <f t="shared" si="358"/>
        <v>0</v>
      </c>
      <c r="X90" s="547">
        <f t="shared" si="359"/>
        <v>0</v>
      </c>
      <c r="Y90" s="546" t="s">
        <v>2142</v>
      </c>
      <c r="Z90" s="549" t="s">
        <v>2142</v>
      </c>
      <c r="AA90" s="546"/>
      <c r="AB90" s="547"/>
      <c r="AC90" s="547"/>
      <c r="AD90" s="668">
        <f>+'Anexo 5.2 A'!BG85</f>
        <v>0</v>
      </c>
      <c r="AE90" s="730"/>
      <c r="AF90" s="730"/>
      <c r="AG90" s="730"/>
      <c r="AH90" s="675">
        <f>+'Anexo 5.2 A'!BH85</f>
        <v>0</v>
      </c>
      <c r="AI90" s="728"/>
      <c r="AJ90" s="743"/>
      <c r="AK90" s="743"/>
      <c r="AL90" s="549" t="e">
        <f t="shared" si="393"/>
        <v>#DIV/0!</v>
      </c>
      <c r="AM90" s="549" t="e">
        <f t="shared" ref="AM90:AM95" si="423">+AI90/AE90</f>
        <v>#DIV/0!</v>
      </c>
      <c r="AN90" s="549" t="e">
        <f t="shared" ref="AN90:AN95" si="424">+AJ90/AF90</f>
        <v>#DIV/0!</v>
      </c>
      <c r="AO90" s="549" t="e">
        <f t="shared" ref="AO90:AO95" si="425">+AK90/AG90</f>
        <v>#DIV/0!</v>
      </c>
      <c r="AP90" s="675">
        <f>+'Anexo 5.2 A'!BJ85</f>
        <v>0</v>
      </c>
      <c r="AQ90" s="675">
        <f>+'Anexo 5.2 A'!BK85</f>
        <v>0</v>
      </c>
      <c r="AR90" s="675">
        <f>+'Anexo 5.2 A'!BL85</f>
        <v>0</v>
      </c>
      <c r="AS90" s="675">
        <f>+'Anexo 5.2 A'!BM85</f>
        <v>0</v>
      </c>
      <c r="AT90" s="540" t="e">
        <f t="shared" ref="AT90:AT95" si="426">+AP90/AD90</f>
        <v>#DIV/0!</v>
      </c>
      <c r="AU90" s="540" t="e">
        <f t="shared" ref="AU90:AU95" si="427">+AQ90/AE90</f>
        <v>#DIV/0!</v>
      </c>
      <c r="AV90" s="540" t="e">
        <f t="shared" ref="AV90:AV95" si="428">+AR90/AF90</f>
        <v>#DIV/0!</v>
      </c>
      <c r="AW90" s="540" t="e">
        <f t="shared" ref="AW90:AW95" si="429">+AS90/AG90</f>
        <v>#DIV/0!</v>
      </c>
      <c r="AX90" s="676">
        <f t="shared" si="349"/>
        <v>0</v>
      </c>
      <c r="AY90" s="676">
        <f t="shared" si="420"/>
        <v>0</v>
      </c>
      <c r="AZ90" s="676">
        <f t="shared" si="421"/>
        <v>0</v>
      </c>
      <c r="BA90" s="676">
        <f t="shared" si="422"/>
        <v>0</v>
      </c>
      <c r="BB90" s="551"/>
      <c r="BC90" s="551"/>
      <c r="BD90" s="551"/>
      <c r="BE90" s="551"/>
      <c r="BF90" s="737" t="e">
        <f t="shared" ref="BF90:BF95" si="430">+BB90/AX90</f>
        <v>#DIV/0!</v>
      </c>
      <c r="BG90" s="737" t="e">
        <f t="shared" ref="BG90:BG95" si="431">+BC90/AY90</f>
        <v>#DIV/0!</v>
      </c>
      <c r="BH90" s="737" t="e">
        <f t="shared" ref="BH90:BH95" si="432">+BD90/AZ90</f>
        <v>#DIV/0!</v>
      </c>
      <c r="BI90" s="547" t="e">
        <f t="shared" ref="BI90:BI95" si="433">+BE90/BA90</f>
        <v>#DIV/0!</v>
      </c>
      <c r="BJ90" s="730">
        <f t="shared" si="335"/>
        <v>0</v>
      </c>
      <c r="BK90" s="544">
        <f t="shared" ref="BK90:BK95" si="434">+AH90+AI90+AJ90+AK90</f>
        <v>0</v>
      </c>
      <c r="BL90" s="553" t="e">
        <f t="shared" ref="BL90:BL95" si="435">+BK90/BJ90</f>
        <v>#DIV/0!</v>
      </c>
      <c r="BM90" s="544">
        <f t="shared" ref="BM90:BM95" si="436">+AP90+AQ90+AR90+AS90</f>
        <v>0</v>
      </c>
      <c r="BN90" s="565" t="e">
        <f t="shared" ref="BN90:BN95" si="437">+BM90/BJ90</f>
        <v>#DIV/0!</v>
      </c>
      <c r="BO90" s="548"/>
      <c r="BP90" s="552" t="s">
        <v>2357</v>
      </c>
      <c r="BQ90" s="552" t="s">
        <v>34</v>
      </c>
      <c r="BR90" s="554" t="s">
        <v>2326</v>
      </c>
    </row>
    <row r="91" spans="1:70" ht="53.25" hidden="1" customHeight="1" x14ac:dyDescent="0.25">
      <c r="A91" s="601" t="s">
        <v>2006</v>
      </c>
      <c r="B91" s="602" t="s">
        <v>2082</v>
      </c>
      <c r="C91" s="603" t="s">
        <v>2093</v>
      </c>
      <c r="D91" s="598">
        <v>0</v>
      </c>
      <c r="E91" s="740">
        <v>0</v>
      </c>
      <c r="F91" s="740">
        <v>1</v>
      </c>
      <c r="G91" s="741">
        <v>0</v>
      </c>
      <c r="H91" s="757">
        <v>0</v>
      </c>
      <c r="I91" s="723">
        <v>0</v>
      </c>
      <c r="J91" s="541"/>
      <c r="K91" s="541"/>
      <c r="L91" s="541"/>
      <c r="M91" s="542"/>
      <c r="N91" s="542"/>
      <c r="O91" s="542"/>
      <c r="P91" s="540" t="s">
        <v>2142</v>
      </c>
      <c r="Q91" s="545"/>
      <c r="R91" s="545"/>
      <c r="S91" s="545"/>
      <c r="T91" s="540" t="s">
        <v>2142</v>
      </c>
      <c r="U91" s="629">
        <v>45657</v>
      </c>
      <c r="V91" s="544">
        <f t="shared" si="357"/>
        <v>1</v>
      </c>
      <c r="W91" s="544">
        <f t="shared" si="358"/>
        <v>0</v>
      </c>
      <c r="X91" s="547">
        <f t="shared" si="359"/>
        <v>0</v>
      </c>
      <c r="Y91" s="546" t="s">
        <v>2142</v>
      </c>
      <c r="Z91" s="549" t="s">
        <v>2142</v>
      </c>
      <c r="AA91" s="546"/>
      <c r="AB91" s="547"/>
      <c r="AC91" s="547"/>
      <c r="AD91" s="668">
        <f>+'Anexo 5.2 A'!BG86</f>
        <v>0</v>
      </c>
      <c r="AE91" s="730"/>
      <c r="AF91" s="730"/>
      <c r="AG91" s="730"/>
      <c r="AH91" s="675">
        <f>+'Anexo 5.2 A'!BH86</f>
        <v>0</v>
      </c>
      <c r="AI91" s="728"/>
      <c r="AJ91" s="743"/>
      <c r="AK91" s="743"/>
      <c r="AL91" s="549" t="e">
        <f t="shared" si="393"/>
        <v>#DIV/0!</v>
      </c>
      <c r="AM91" s="549" t="e">
        <f t="shared" si="423"/>
        <v>#DIV/0!</v>
      </c>
      <c r="AN91" s="549" t="e">
        <f t="shared" si="424"/>
        <v>#DIV/0!</v>
      </c>
      <c r="AO91" s="549" t="e">
        <f t="shared" si="425"/>
        <v>#DIV/0!</v>
      </c>
      <c r="AP91" s="675">
        <f>+'Anexo 5.2 A'!BJ86</f>
        <v>0</v>
      </c>
      <c r="AQ91" s="675">
        <f>+'Anexo 5.2 A'!BK86</f>
        <v>0</v>
      </c>
      <c r="AR91" s="675">
        <f>+'Anexo 5.2 A'!BL86</f>
        <v>0</v>
      </c>
      <c r="AS91" s="675">
        <f>+'Anexo 5.2 A'!BM86</f>
        <v>0</v>
      </c>
      <c r="AT91" s="540" t="e">
        <f t="shared" si="426"/>
        <v>#DIV/0!</v>
      </c>
      <c r="AU91" s="540" t="e">
        <f t="shared" si="427"/>
        <v>#DIV/0!</v>
      </c>
      <c r="AV91" s="540" t="e">
        <f t="shared" si="428"/>
        <v>#DIV/0!</v>
      </c>
      <c r="AW91" s="540" t="e">
        <f t="shared" si="429"/>
        <v>#DIV/0!</v>
      </c>
      <c r="AX91" s="676">
        <f t="shared" si="349"/>
        <v>0</v>
      </c>
      <c r="AY91" s="676">
        <f t="shared" si="420"/>
        <v>0</v>
      </c>
      <c r="AZ91" s="676">
        <f t="shared" si="421"/>
        <v>0</v>
      </c>
      <c r="BA91" s="676">
        <f t="shared" si="422"/>
        <v>0</v>
      </c>
      <c r="BB91" s="551"/>
      <c r="BC91" s="551"/>
      <c r="BD91" s="551"/>
      <c r="BE91" s="551"/>
      <c r="BF91" s="737" t="e">
        <f t="shared" si="430"/>
        <v>#DIV/0!</v>
      </c>
      <c r="BG91" s="737" t="e">
        <f t="shared" si="431"/>
        <v>#DIV/0!</v>
      </c>
      <c r="BH91" s="737" t="e">
        <f t="shared" si="432"/>
        <v>#DIV/0!</v>
      </c>
      <c r="BI91" s="547" t="e">
        <f t="shared" si="433"/>
        <v>#DIV/0!</v>
      </c>
      <c r="BJ91" s="730">
        <f t="shared" si="335"/>
        <v>0</v>
      </c>
      <c r="BK91" s="544">
        <f t="shared" si="434"/>
        <v>0</v>
      </c>
      <c r="BL91" s="553" t="e">
        <f t="shared" si="435"/>
        <v>#DIV/0!</v>
      </c>
      <c r="BM91" s="544">
        <f t="shared" si="436"/>
        <v>0</v>
      </c>
      <c r="BN91" s="565" t="e">
        <f t="shared" si="437"/>
        <v>#DIV/0!</v>
      </c>
      <c r="BO91" s="548"/>
      <c r="BP91" s="552" t="s">
        <v>2357</v>
      </c>
      <c r="BQ91" s="552" t="s">
        <v>34</v>
      </c>
      <c r="BR91" s="554" t="s">
        <v>2326</v>
      </c>
    </row>
    <row r="92" spans="1:70" ht="53.25" hidden="1" customHeight="1" x14ac:dyDescent="0.25">
      <c r="A92" s="601" t="s">
        <v>2007</v>
      </c>
      <c r="B92" s="602" t="s">
        <v>2073</v>
      </c>
      <c r="C92" s="603" t="s">
        <v>2093</v>
      </c>
      <c r="D92" s="598">
        <v>0</v>
      </c>
      <c r="E92" s="740">
        <v>0</v>
      </c>
      <c r="F92" s="740">
        <v>0</v>
      </c>
      <c r="G92" s="741">
        <v>1</v>
      </c>
      <c r="H92" s="757">
        <v>0</v>
      </c>
      <c r="I92" s="723">
        <v>0</v>
      </c>
      <c r="J92" s="541"/>
      <c r="K92" s="541"/>
      <c r="L92" s="541"/>
      <c r="M92" s="542"/>
      <c r="N92" s="542"/>
      <c r="O92" s="542"/>
      <c r="P92" s="540" t="s">
        <v>2142</v>
      </c>
      <c r="Q92" s="545"/>
      <c r="R92" s="545"/>
      <c r="S92" s="545"/>
      <c r="T92" s="540" t="s">
        <v>2142</v>
      </c>
      <c r="U92" s="629">
        <v>45657</v>
      </c>
      <c r="V92" s="544">
        <f t="shared" si="357"/>
        <v>1</v>
      </c>
      <c r="W92" s="544">
        <f t="shared" si="358"/>
        <v>0</v>
      </c>
      <c r="X92" s="547">
        <f t="shared" si="359"/>
        <v>0</v>
      </c>
      <c r="Y92" s="546" t="s">
        <v>2142</v>
      </c>
      <c r="Z92" s="549" t="s">
        <v>2142</v>
      </c>
      <c r="AA92" s="546"/>
      <c r="AB92" s="547"/>
      <c r="AC92" s="547"/>
      <c r="AD92" s="668">
        <f>+'Anexo 5.2 A'!BG87</f>
        <v>0</v>
      </c>
      <c r="AE92" s="730"/>
      <c r="AF92" s="730"/>
      <c r="AG92" s="730"/>
      <c r="AH92" s="675">
        <f>+'Anexo 5.2 A'!BH87</f>
        <v>0</v>
      </c>
      <c r="AI92" s="728"/>
      <c r="AJ92" s="743"/>
      <c r="AK92" s="743"/>
      <c r="AL92" s="549" t="e">
        <f t="shared" si="393"/>
        <v>#DIV/0!</v>
      </c>
      <c r="AM92" s="549" t="e">
        <f t="shared" si="423"/>
        <v>#DIV/0!</v>
      </c>
      <c r="AN92" s="549" t="e">
        <f t="shared" si="424"/>
        <v>#DIV/0!</v>
      </c>
      <c r="AO92" s="549" t="e">
        <f t="shared" si="425"/>
        <v>#DIV/0!</v>
      </c>
      <c r="AP92" s="675">
        <f>+'Anexo 5.2 A'!BJ87</f>
        <v>0</v>
      </c>
      <c r="AQ92" s="675">
        <f>+'Anexo 5.2 A'!BK87</f>
        <v>0</v>
      </c>
      <c r="AR92" s="675">
        <f>+'Anexo 5.2 A'!BL87</f>
        <v>0</v>
      </c>
      <c r="AS92" s="675">
        <f>+'Anexo 5.2 A'!BM87</f>
        <v>0</v>
      </c>
      <c r="AT92" s="540" t="e">
        <f t="shared" si="426"/>
        <v>#DIV/0!</v>
      </c>
      <c r="AU92" s="540" t="e">
        <f t="shared" si="427"/>
        <v>#DIV/0!</v>
      </c>
      <c r="AV92" s="540" t="e">
        <f t="shared" si="428"/>
        <v>#DIV/0!</v>
      </c>
      <c r="AW92" s="540" t="e">
        <f t="shared" si="429"/>
        <v>#DIV/0!</v>
      </c>
      <c r="AX92" s="676">
        <f t="shared" si="349"/>
        <v>0</v>
      </c>
      <c r="AY92" s="676">
        <f t="shared" si="420"/>
        <v>0</v>
      </c>
      <c r="AZ92" s="676">
        <f t="shared" si="421"/>
        <v>0</v>
      </c>
      <c r="BA92" s="676">
        <f t="shared" si="422"/>
        <v>0</v>
      </c>
      <c r="BB92" s="551"/>
      <c r="BC92" s="551"/>
      <c r="BD92" s="551"/>
      <c r="BE92" s="551"/>
      <c r="BF92" s="737" t="e">
        <f t="shared" si="430"/>
        <v>#DIV/0!</v>
      </c>
      <c r="BG92" s="737" t="e">
        <f t="shared" si="431"/>
        <v>#DIV/0!</v>
      </c>
      <c r="BH92" s="737" t="e">
        <f t="shared" si="432"/>
        <v>#DIV/0!</v>
      </c>
      <c r="BI92" s="547" t="e">
        <f t="shared" si="433"/>
        <v>#DIV/0!</v>
      </c>
      <c r="BJ92" s="730">
        <f t="shared" si="335"/>
        <v>0</v>
      </c>
      <c r="BK92" s="544">
        <f t="shared" si="434"/>
        <v>0</v>
      </c>
      <c r="BL92" s="553" t="e">
        <f t="shared" si="435"/>
        <v>#DIV/0!</v>
      </c>
      <c r="BM92" s="544">
        <f t="shared" si="436"/>
        <v>0</v>
      </c>
      <c r="BN92" s="565" t="e">
        <f t="shared" si="437"/>
        <v>#DIV/0!</v>
      </c>
      <c r="BO92" s="548"/>
      <c r="BP92" s="552" t="s">
        <v>2357</v>
      </c>
      <c r="BQ92" s="552" t="s">
        <v>34</v>
      </c>
      <c r="BR92" s="554" t="s">
        <v>2326</v>
      </c>
    </row>
    <row r="93" spans="1:70" ht="53.25" hidden="1" customHeight="1" x14ac:dyDescent="0.25">
      <c r="A93" s="601" t="s">
        <v>2008</v>
      </c>
      <c r="B93" s="602" t="s">
        <v>2083</v>
      </c>
      <c r="C93" s="603" t="s">
        <v>2093</v>
      </c>
      <c r="D93" s="598">
        <v>1</v>
      </c>
      <c r="E93" s="740">
        <v>1</v>
      </c>
      <c r="F93" s="740">
        <v>1</v>
      </c>
      <c r="G93" s="741">
        <v>1</v>
      </c>
      <c r="H93" s="757">
        <v>1</v>
      </c>
      <c r="I93" s="723">
        <v>0</v>
      </c>
      <c r="J93" s="541"/>
      <c r="K93" s="541"/>
      <c r="L93" s="541"/>
      <c r="M93" s="542"/>
      <c r="N93" s="542"/>
      <c r="O93" s="542"/>
      <c r="P93" s="562">
        <f t="shared" ref="P93:P107" si="438">IF((H93+L93)/D93&gt;=100%,100%,(H93+L93)/D93)</f>
        <v>1</v>
      </c>
      <c r="Q93" s="545"/>
      <c r="R93" s="545"/>
      <c r="S93" s="545"/>
      <c r="T93" s="550" t="s">
        <v>2123</v>
      </c>
      <c r="U93" s="629">
        <v>45657</v>
      </c>
      <c r="V93" s="544">
        <f t="shared" si="357"/>
        <v>4</v>
      </c>
      <c r="W93" s="544">
        <f t="shared" si="358"/>
        <v>1</v>
      </c>
      <c r="X93" s="547">
        <f t="shared" si="359"/>
        <v>0.25</v>
      </c>
      <c r="Y93" s="546">
        <v>0.2</v>
      </c>
      <c r="Z93" s="739">
        <v>0.2</v>
      </c>
      <c r="AA93" s="546"/>
      <c r="AB93" s="547"/>
      <c r="AC93" s="547"/>
      <c r="AD93" s="668">
        <f>+'Anexo 5.2 A'!BG88</f>
        <v>673213799.05999994</v>
      </c>
      <c r="AE93" s="730"/>
      <c r="AF93" s="730"/>
      <c r="AG93" s="730"/>
      <c r="AH93" s="675">
        <f>+'Anexo 5.2 A'!BH88</f>
        <v>639832377.52799988</v>
      </c>
      <c r="AI93" s="728"/>
      <c r="AJ93" s="743"/>
      <c r="AK93" s="743"/>
      <c r="AL93" s="549">
        <f t="shared" si="393"/>
        <v>0.95041482872363858</v>
      </c>
      <c r="AM93" s="549" t="e">
        <f t="shared" si="423"/>
        <v>#DIV/0!</v>
      </c>
      <c r="AN93" s="549" t="e">
        <f t="shared" si="424"/>
        <v>#DIV/0!</v>
      </c>
      <c r="AO93" s="549" t="e">
        <f t="shared" si="425"/>
        <v>#DIV/0!</v>
      </c>
      <c r="AP93" s="675">
        <f>+'Anexo 5.2 A'!BJ88</f>
        <v>214457133.24600002</v>
      </c>
      <c r="AQ93" s="675">
        <f>+'Anexo 5.2 A'!BK88</f>
        <v>0</v>
      </c>
      <c r="AR93" s="675">
        <f>+'Anexo 5.2 A'!BL88</f>
        <v>0</v>
      </c>
      <c r="AS93" s="675">
        <f>+'Anexo 5.2 A'!BM88</f>
        <v>0</v>
      </c>
      <c r="AT93" s="540">
        <f t="shared" si="426"/>
        <v>0.31855724518042239</v>
      </c>
      <c r="AU93" s="540" t="e">
        <f t="shared" si="427"/>
        <v>#DIV/0!</v>
      </c>
      <c r="AV93" s="540" t="e">
        <f t="shared" si="428"/>
        <v>#DIV/0!</v>
      </c>
      <c r="AW93" s="540" t="e">
        <f t="shared" si="429"/>
        <v>#DIV/0!</v>
      </c>
      <c r="AX93" s="676">
        <f t="shared" si="349"/>
        <v>425375244.28199983</v>
      </c>
      <c r="AY93" s="676">
        <f t="shared" si="420"/>
        <v>0</v>
      </c>
      <c r="AZ93" s="676">
        <f t="shared" si="421"/>
        <v>0</v>
      </c>
      <c r="BA93" s="676">
        <f t="shared" si="422"/>
        <v>0</v>
      </c>
      <c r="BB93" s="551"/>
      <c r="BC93" s="551"/>
      <c r="BD93" s="551"/>
      <c r="BE93" s="551"/>
      <c r="BF93" s="737">
        <f t="shared" si="430"/>
        <v>0</v>
      </c>
      <c r="BG93" s="737" t="e">
        <f t="shared" si="431"/>
        <v>#DIV/0!</v>
      </c>
      <c r="BH93" s="737" t="e">
        <f t="shared" si="432"/>
        <v>#DIV/0!</v>
      </c>
      <c r="BI93" s="547" t="e">
        <f t="shared" si="433"/>
        <v>#DIV/0!</v>
      </c>
      <c r="BJ93" s="730">
        <f t="shared" si="335"/>
        <v>673213799.05999994</v>
      </c>
      <c r="BK93" s="544">
        <f t="shared" si="434"/>
        <v>639832377.52799988</v>
      </c>
      <c r="BL93" s="553">
        <f t="shared" si="435"/>
        <v>0.95041482872363858</v>
      </c>
      <c r="BM93" s="544">
        <f t="shared" si="436"/>
        <v>214457133.24600002</v>
      </c>
      <c r="BN93" s="565">
        <f t="shared" si="437"/>
        <v>0.31855724518042239</v>
      </c>
      <c r="BO93" s="548"/>
      <c r="BP93" s="552" t="s">
        <v>2357</v>
      </c>
      <c r="BQ93" s="552" t="s">
        <v>2345</v>
      </c>
      <c r="BR93" s="554" t="s">
        <v>2326</v>
      </c>
    </row>
    <row r="94" spans="1:70" ht="53.25" hidden="1" customHeight="1" x14ac:dyDescent="0.25">
      <c r="A94" s="601" t="s">
        <v>2009</v>
      </c>
      <c r="B94" s="602" t="s">
        <v>2083</v>
      </c>
      <c r="C94" s="603" t="s">
        <v>2093</v>
      </c>
      <c r="D94" s="598">
        <v>0</v>
      </c>
      <c r="E94" s="740">
        <v>1</v>
      </c>
      <c r="F94" s="740">
        <v>1</v>
      </c>
      <c r="G94" s="741">
        <v>1</v>
      </c>
      <c r="H94" s="757">
        <v>0</v>
      </c>
      <c r="I94" s="723">
        <v>0</v>
      </c>
      <c r="J94" s="541"/>
      <c r="K94" s="541"/>
      <c r="L94" s="541"/>
      <c r="M94" s="542"/>
      <c r="N94" s="542"/>
      <c r="O94" s="542"/>
      <c r="P94" s="540" t="s">
        <v>2142</v>
      </c>
      <c r="Q94" s="545"/>
      <c r="R94" s="545"/>
      <c r="S94" s="545"/>
      <c r="T94" s="540" t="s">
        <v>2142</v>
      </c>
      <c r="U94" s="629">
        <v>45657</v>
      </c>
      <c r="V94" s="544">
        <f t="shared" si="357"/>
        <v>3</v>
      </c>
      <c r="W94" s="544">
        <f t="shared" si="358"/>
        <v>0</v>
      </c>
      <c r="X94" s="547">
        <f t="shared" si="359"/>
        <v>0</v>
      </c>
      <c r="Y94" s="546" t="s">
        <v>2142</v>
      </c>
      <c r="Z94" s="549" t="s">
        <v>2142</v>
      </c>
      <c r="AA94" s="546"/>
      <c r="AB94" s="547"/>
      <c r="AC94" s="547"/>
      <c r="AD94" s="668">
        <f>+'Anexo 5.2 A'!BG89</f>
        <v>0</v>
      </c>
      <c r="AE94" s="730"/>
      <c r="AF94" s="730"/>
      <c r="AG94" s="730"/>
      <c r="AH94" s="675">
        <f>+'Anexo 5.2 A'!BH89</f>
        <v>0</v>
      </c>
      <c r="AI94" s="728"/>
      <c r="AJ94" s="743"/>
      <c r="AK94" s="743"/>
      <c r="AL94" s="549" t="e">
        <f t="shared" si="393"/>
        <v>#DIV/0!</v>
      </c>
      <c r="AM94" s="549" t="e">
        <f t="shared" si="423"/>
        <v>#DIV/0!</v>
      </c>
      <c r="AN94" s="549" t="e">
        <f t="shared" si="424"/>
        <v>#DIV/0!</v>
      </c>
      <c r="AO94" s="549" t="e">
        <f t="shared" si="425"/>
        <v>#DIV/0!</v>
      </c>
      <c r="AP94" s="675">
        <f>+'Anexo 5.2 A'!BJ89</f>
        <v>0</v>
      </c>
      <c r="AQ94" s="675">
        <f>+'Anexo 5.2 A'!BK89</f>
        <v>0</v>
      </c>
      <c r="AR94" s="675">
        <f>+'Anexo 5.2 A'!BL89</f>
        <v>0</v>
      </c>
      <c r="AS94" s="675">
        <f>+'Anexo 5.2 A'!BM89</f>
        <v>0</v>
      </c>
      <c r="AT94" s="540" t="e">
        <f t="shared" si="426"/>
        <v>#DIV/0!</v>
      </c>
      <c r="AU94" s="540" t="e">
        <f t="shared" si="427"/>
        <v>#DIV/0!</v>
      </c>
      <c r="AV94" s="540" t="e">
        <f t="shared" si="428"/>
        <v>#DIV/0!</v>
      </c>
      <c r="AW94" s="540" t="e">
        <f t="shared" si="429"/>
        <v>#DIV/0!</v>
      </c>
      <c r="AX94" s="676">
        <f t="shared" si="349"/>
        <v>0</v>
      </c>
      <c r="AY94" s="676">
        <f t="shared" si="420"/>
        <v>0</v>
      </c>
      <c r="AZ94" s="676">
        <f t="shared" si="421"/>
        <v>0</v>
      </c>
      <c r="BA94" s="676">
        <f t="shared" si="422"/>
        <v>0</v>
      </c>
      <c r="BB94" s="551"/>
      <c r="BC94" s="551"/>
      <c r="BD94" s="551"/>
      <c r="BE94" s="551"/>
      <c r="BF94" s="737" t="e">
        <f t="shared" si="430"/>
        <v>#DIV/0!</v>
      </c>
      <c r="BG94" s="737" t="e">
        <f t="shared" si="431"/>
        <v>#DIV/0!</v>
      </c>
      <c r="BH94" s="737" t="e">
        <f t="shared" si="432"/>
        <v>#DIV/0!</v>
      </c>
      <c r="BI94" s="547" t="e">
        <f t="shared" si="433"/>
        <v>#DIV/0!</v>
      </c>
      <c r="BJ94" s="730">
        <f t="shared" si="335"/>
        <v>0</v>
      </c>
      <c r="BK94" s="544">
        <f t="shared" si="434"/>
        <v>0</v>
      </c>
      <c r="BL94" s="553" t="e">
        <f t="shared" si="435"/>
        <v>#DIV/0!</v>
      </c>
      <c r="BM94" s="544">
        <f t="shared" si="436"/>
        <v>0</v>
      </c>
      <c r="BN94" s="565" t="e">
        <f t="shared" si="437"/>
        <v>#DIV/0!</v>
      </c>
      <c r="BO94" s="548"/>
      <c r="BP94" s="552" t="s">
        <v>2357</v>
      </c>
      <c r="BQ94" s="552" t="s">
        <v>2345</v>
      </c>
      <c r="BR94" s="554" t="s">
        <v>2326</v>
      </c>
    </row>
    <row r="95" spans="1:70" ht="53.25" hidden="1" customHeight="1" x14ac:dyDescent="0.25">
      <c r="A95" s="601" t="s">
        <v>2010</v>
      </c>
      <c r="B95" s="602" t="s">
        <v>2073</v>
      </c>
      <c r="C95" s="603" t="s">
        <v>2093</v>
      </c>
      <c r="D95" s="598">
        <v>1</v>
      </c>
      <c r="E95" s="740">
        <v>1</v>
      </c>
      <c r="F95" s="740">
        <v>1</v>
      </c>
      <c r="G95" s="741">
        <v>1</v>
      </c>
      <c r="H95" s="757">
        <v>1</v>
      </c>
      <c r="I95" s="723">
        <v>0</v>
      </c>
      <c r="J95" s="541"/>
      <c r="K95" s="541"/>
      <c r="L95" s="541"/>
      <c r="M95" s="542"/>
      <c r="N95" s="542"/>
      <c r="O95" s="542"/>
      <c r="P95" s="562">
        <f t="shared" si="438"/>
        <v>1</v>
      </c>
      <c r="Q95" s="545"/>
      <c r="R95" s="545"/>
      <c r="S95" s="545"/>
      <c r="T95" s="550" t="s">
        <v>2124</v>
      </c>
      <c r="U95" s="629">
        <v>45657</v>
      </c>
      <c r="V95" s="544">
        <f t="shared" si="357"/>
        <v>4</v>
      </c>
      <c r="W95" s="544">
        <f t="shared" si="358"/>
        <v>1</v>
      </c>
      <c r="X95" s="547">
        <f t="shared" si="359"/>
        <v>0.25</v>
      </c>
      <c r="Y95" s="546">
        <v>0.2</v>
      </c>
      <c r="Z95" s="739">
        <v>0.2</v>
      </c>
      <c r="AA95" s="546"/>
      <c r="AB95" s="547"/>
      <c r="AC95" s="547"/>
      <c r="AD95" s="668">
        <f>+'Anexo 5.2 A'!BG90</f>
        <v>673213799.05999994</v>
      </c>
      <c r="AE95" s="730"/>
      <c r="AF95" s="730"/>
      <c r="AG95" s="730"/>
      <c r="AH95" s="675">
        <f>+'Anexo 5.2 A'!BH90</f>
        <v>639832377.52799988</v>
      </c>
      <c r="AI95" s="728"/>
      <c r="AJ95" s="743"/>
      <c r="AK95" s="743"/>
      <c r="AL95" s="549">
        <f t="shared" si="393"/>
        <v>0.95041482872363858</v>
      </c>
      <c r="AM95" s="549" t="e">
        <f t="shared" si="423"/>
        <v>#DIV/0!</v>
      </c>
      <c r="AN95" s="549" t="e">
        <f t="shared" si="424"/>
        <v>#DIV/0!</v>
      </c>
      <c r="AO95" s="549" t="e">
        <f t="shared" si="425"/>
        <v>#DIV/0!</v>
      </c>
      <c r="AP95" s="675">
        <f>+'Anexo 5.2 A'!BJ90</f>
        <v>214457133.24600002</v>
      </c>
      <c r="AQ95" s="675">
        <f>+'Anexo 5.2 A'!BK90</f>
        <v>0</v>
      </c>
      <c r="AR95" s="675">
        <f>+'Anexo 5.2 A'!BL90</f>
        <v>0</v>
      </c>
      <c r="AS95" s="675">
        <f>+'Anexo 5.2 A'!BM90</f>
        <v>0</v>
      </c>
      <c r="AT95" s="540">
        <f t="shared" si="426"/>
        <v>0.31855724518042239</v>
      </c>
      <c r="AU95" s="540" t="e">
        <f t="shared" si="427"/>
        <v>#DIV/0!</v>
      </c>
      <c r="AV95" s="540" t="e">
        <f t="shared" si="428"/>
        <v>#DIV/0!</v>
      </c>
      <c r="AW95" s="540" t="e">
        <f t="shared" si="429"/>
        <v>#DIV/0!</v>
      </c>
      <c r="AX95" s="676">
        <f t="shared" si="349"/>
        <v>425375244.28199983</v>
      </c>
      <c r="AY95" s="676">
        <f t="shared" si="420"/>
        <v>0</v>
      </c>
      <c r="AZ95" s="676">
        <f t="shared" si="421"/>
        <v>0</v>
      </c>
      <c r="BA95" s="676">
        <f t="shared" si="422"/>
        <v>0</v>
      </c>
      <c r="BB95" s="551"/>
      <c r="BC95" s="551"/>
      <c r="BD95" s="551"/>
      <c r="BE95" s="551"/>
      <c r="BF95" s="737">
        <f t="shared" si="430"/>
        <v>0</v>
      </c>
      <c r="BG95" s="737" t="e">
        <f t="shared" si="431"/>
        <v>#DIV/0!</v>
      </c>
      <c r="BH95" s="737" t="e">
        <f t="shared" si="432"/>
        <v>#DIV/0!</v>
      </c>
      <c r="BI95" s="547" t="e">
        <f t="shared" si="433"/>
        <v>#DIV/0!</v>
      </c>
      <c r="BJ95" s="730">
        <f t="shared" si="335"/>
        <v>673213799.05999994</v>
      </c>
      <c r="BK95" s="544">
        <f t="shared" si="434"/>
        <v>639832377.52799988</v>
      </c>
      <c r="BL95" s="553">
        <f t="shared" si="435"/>
        <v>0.95041482872363858</v>
      </c>
      <c r="BM95" s="544">
        <f t="shared" si="436"/>
        <v>214457133.24600002</v>
      </c>
      <c r="BN95" s="565">
        <f t="shared" si="437"/>
        <v>0.31855724518042239</v>
      </c>
      <c r="BO95" s="548"/>
      <c r="BP95" s="552" t="s">
        <v>2357</v>
      </c>
      <c r="BQ95" s="552" t="s">
        <v>2345</v>
      </c>
      <c r="BR95" s="554" t="s">
        <v>2326</v>
      </c>
    </row>
    <row r="96" spans="1:70" ht="53.25" hidden="1" customHeight="1" x14ac:dyDescent="0.25">
      <c r="A96" s="601" t="s">
        <v>2011</v>
      </c>
      <c r="B96" s="602" t="s">
        <v>2084</v>
      </c>
      <c r="C96" s="603" t="s">
        <v>2093</v>
      </c>
      <c r="D96" s="598">
        <v>1</v>
      </c>
      <c r="E96" s="740">
        <v>1</v>
      </c>
      <c r="F96" s="740">
        <v>1</v>
      </c>
      <c r="G96" s="741">
        <v>1</v>
      </c>
      <c r="H96" s="757">
        <v>1</v>
      </c>
      <c r="I96" s="723">
        <v>0</v>
      </c>
      <c r="J96" s="541"/>
      <c r="K96" s="541"/>
      <c r="L96" s="541"/>
      <c r="M96" s="542"/>
      <c r="N96" s="542"/>
      <c r="O96" s="542"/>
      <c r="P96" s="562">
        <f t="shared" si="438"/>
        <v>1</v>
      </c>
      <c r="Q96" s="545"/>
      <c r="R96" s="545"/>
      <c r="S96" s="545"/>
      <c r="T96" s="550" t="s">
        <v>2125</v>
      </c>
      <c r="U96" s="629">
        <v>45657</v>
      </c>
      <c r="V96" s="544">
        <f t="shared" si="357"/>
        <v>4</v>
      </c>
      <c r="W96" s="544">
        <f t="shared" si="358"/>
        <v>1</v>
      </c>
      <c r="X96" s="547">
        <f t="shared" si="359"/>
        <v>0.25</v>
      </c>
      <c r="Y96" s="546">
        <v>0.2</v>
      </c>
      <c r="Z96" s="739">
        <v>0.2</v>
      </c>
      <c r="AA96" s="546"/>
      <c r="AB96" s="547"/>
      <c r="AC96" s="547"/>
      <c r="AD96" s="668">
        <f>+'Anexo 5.2 A'!BG91</f>
        <v>673213799.05999994</v>
      </c>
      <c r="AE96" s="730"/>
      <c r="AF96" s="730"/>
      <c r="AG96" s="730"/>
      <c r="AH96" s="675">
        <f>+'Anexo 5.2 A'!BH91</f>
        <v>639832377.52799988</v>
      </c>
      <c r="AI96" s="728"/>
      <c r="AJ96" s="743"/>
      <c r="AK96" s="743"/>
      <c r="AL96" s="549">
        <f t="shared" si="393"/>
        <v>0.95041482872363858</v>
      </c>
      <c r="AM96" s="549" t="e">
        <f t="shared" ref="AM96:AM103" si="439">+AI96/AE96</f>
        <v>#DIV/0!</v>
      </c>
      <c r="AN96" s="549" t="e">
        <f t="shared" ref="AN96:AN103" si="440">+AJ96/AF96</f>
        <v>#DIV/0!</v>
      </c>
      <c r="AO96" s="549" t="e">
        <f t="shared" ref="AO96:AO103" si="441">+AK96/AG96</f>
        <v>#DIV/0!</v>
      </c>
      <c r="AP96" s="675">
        <f>+'Anexo 5.2 A'!BJ91</f>
        <v>214457133.24600002</v>
      </c>
      <c r="AQ96" s="675">
        <f>+'Anexo 5.2 A'!BK91</f>
        <v>0</v>
      </c>
      <c r="AR96" s="675">
        <f>+'Anexo 5.2 A'!BL91</f>
        <v>0</v>
      </c>
      <c r="AS96" s="675">
        <f>+'Anexo 5.2 A'!BM91</f>
        <v>0</v>
      </c>
      <c r="AT96" s="540">
        <f t="shared" ref="AT96:AT103" si="442">+AP96/AD96</f>
        <v>0.31855724518042239</v>
      </c>
      <c r="AU96" s="540" t="e">
        <f t="shared" ref="AU96:AU103" si="443">+AQ96/AE96</f>
        <v>#DIV/0!</v>
      </c>
      <c r="AV96" s="540" t="e">
        <f t="shared" ref="AV96:AV103" si="444">+AR96/AF96</f>
        <v>#DIV/0!</v>
      </c>
      <c r="AW96" s="540" t="e">
        <f t="shared" ref="AW96:AW103" si="445">+AS96/AG96</f>
        <v>#DIV/0!</v>
      </c>
      <c r="AX96" s="676">
        <f t="shared" si="349"/>
        <v>425375244.28199983</v>
      </c>
      <c r="AY96" s="676">
        <f t="shared" si="420"/>
        <v>0</v>
      </c>
      <c r="AZ96" s="676">
        <f t="shared" si="421"/>
        <v>0</v>
      </c>
      <c r="BA96" s="676">
        <f t="shared" si="422"/>
        <v>0</v>
      </c>
      <c r="BB96" s="551"/>
      <c r="BC96" s="551"/>
      <c r="BD96" s="551"/>
      <c r="BE96" s="551"/>
      <c r="BF96" s="737">
        <f t="shared" ref="BF96:BF103" si="446">+BB96/AX96</f>
        <v>0</v>
      </c>
      <c r="BG96" s="737" t="e">
        <f t="shared" ref="BG96:BG103" si="447">+BC96/AY96</f>
        <v>#DIV/0!</v>
      </c>
      <c r="BH96" s="737" t="e">
        <f t="shared" ref="BH96:BH103" si="448">+BD96/AZ96</f>
        <v>#DIV/0!</v>
      </c>
      <c r="BI96" s="547" t="e">
        <f t="shared" ref="BI96:BI103" si="449">+BE96/BA96</f>
        <v>#DIV/0!</v>
      </c>
      <c r="BJ96" s="730">
        <f t="shared" si="335"/>
        <v>673213799.05999994</v>
      </c>
      <c r="BK96" s="544">
        <f t="shared" ref="BK96:BK103" si="450">+AH96+AI96+AJ96+AK96</f>
        <v>639832377.52799988</v>
      </c>
      <c r="BL96" s="553">
        <f t="shared" ref="BL96:BL103" si="451">+BK96/BJ96</f>
        <v>0.95041482872363858</v>
      </c>
      <c r="BM96" s="544">
        <f t="shared" ref="BM96:BM103" si="452">+AP96+AQ96+AR96+AS96</f>
        <v>214457133.24600002</v>
      </c>
      <c r="BN96" s="565">
        <f t="shared" ref="BN96:BN99" si="453">+BM96/BJ96</f>
        <v>0.31855724518042239</v>
      </c>
      <c r="BO96" s="548"/>
      <c r="BP96" s="552" t="s">
        <v>2357</v>
      </c>
      <c r="BQ96" s="552" t="s">
        <v>2345</v>
      </c>
      <c r="BR96" s="554" t="s">
        <v>2326</v>
      </c>
    </row>
    <row r="97" spans="1:70" ht="53.25" hidden="1" customHeight="1" x14ac:dyDescent="0.25">
      <c r="A97" s="601" t="s">
        <v>2012</v>
      </c>
      <c r="B97" s="602" t="s">
        <v>2085</v>
      </c>
      <c r="C97" s="603" t="s">
        <v>2093</v>
      </c>
      <c r="D97" s="598">
        <v>1</v>
      </c>
      <c r="E97" s="740">
        <v>1</v>
      </c>
      <c r="F97" s="740">
        <v>1</v>
      </c>
      <c r="G97" s="741">
        <v>1</v>
      </c>
      <c r="H97" s="757">
        <v>1</v>
      </c>
      <c r="I97" s="723">
        <v>0</v>
      </c>
      <c r="J97" s="541"/>
      <c r="K97" s="541"/>
      <c r="L97" s="541"/>
      <c r="M97" s="542"/>
      <c r="N97" s="542"/>
      <c r="O97" s="542"/>
      <c r="P97" s="562">
        <f t="shared" si="438"/>
        <v>1</v>
      </c>
      <c r="Q97" s="545"/>
      <c r="R97" s="545"/>
      <c r="S97" s="545"/>
      <c r="T97" s="550" t="s">
        <v>2126</v>
      </c>
      <c r="U97" s="629">
        <v>45657</v>
      </c>
      <c r="V97" s="544">
        <f t="shared" si="357"/>
        <v>4</v>
      </c>
      <c r="W97" s="544">
        <f t="shared" si="358"/>
        <v>1</v>
      </c>
      <c r="X97" s="547">
        <f t="shared" si="359"/>
        <v>0.25</v>
      </c>
      <c r="Y97" s="546">
        <v>0.2</v>
      </c>
      <c r="Z97" s="739">
        <v>0.2</v>
      </c>
      <c r="AA97" s="546"/>
      <c r="AB97" s="547"/>
      <c r="AC97" s="547"/>
      <c r="AD97" s="668">
        <f>+'Anexo 5.2 A'!BG92</f>
        <v>673213799.05999994</v>
      </c>
      <c r="AE97" s="730"/>
      <c r="AF97" s="730"/>
      <c r="AG97" s="730"/>
      <c r="AH97" s="675">
        <f>+'Anexo 5.2 A'!BH92</f>
        <v>639832377.52799988</v>
      </c>
      <c r="AI97" s="728"/>
      <c r="AJ97" s="743"/>
      <c r="AK97" s="743"/>
      <c r="AL97" s="549">
        <f t="shared" si="393"/>
        <v>0.95041482872363858</v>
      </c>
      <c r="AM97" s="549" t="e">
        <f t="shared" si="439"/>
        <v>#DIV/0!</v>
      </c>
      <c r="AN97" s="549" t="e">
        <f t="shared" si="440"/>
        <v>#DIV/0!</v>
      </c>
      <c r="AO97" s="549" t="e">
        <f t="shared" si="441"/>
        <v>#DIV/0!</v>
      </c>
      <c r="AP97" s="675">
        <f>+'Anexo 5.2 A'!BJ92</f>
        <v>214457133.24600002</v>
      </c>
      <c r="AQ97" s="675">
        <f>+'Anexo 5.2 A'!BK92</f>
        <v>0</v>
      </c>
      <c r="AR97" s="675">
        <f>+'Anexo 5.2 A'!BL92</f>
        <v>0</v>
      </c>
      <c r="AS97" s="675">
        <f>+'Anexo 5.2 A'!BM92</f>
        <v>0</v>
      </c>
      <c r="AT97" s="540">
        <f t="shared" si="442"/>
        <v>0.31855724518042239</v>
      </c>
      <c r="AU97" s="540" t="e">
        <f t="shared" si="443"/>
        <v>#DIV/0!</v>
      </c>
      <c r="AV97" s="540" t="e">
        <f t="shared" si="444"/>
        <v>#DIV/0!</v>
      </c>
      <c r="AW97" s="540" t="e">
        <f t="shared" si="445"/>
        <v>#DIV/0!</v>
      </c>
      <c r="AX97" s="676">
        <f t="shared" si="349"/>
        <v>425375244.28199983</v>
      </c>
      <c r="AY97" s="676">
        <f t="shared" si="420"/>
        <v>0</v>
      </c>
      <c r="AZ97" s="676">
        <f t="shared" si="421"/>
        <v>0</v>
      </c>
      <c r="BA97" s="676">
        <f t="shared" si="422"/>
        <v>0</v>
      </c>
      <c r="BB97" s="551"/>
      <c r="BC97" s="551"/>
      <c r="BD97" s="551"/>
      <c r="BE97" s="551"/>
      <c r="BF97" s="737">
        <f t="shared" si="446"/>
        <v>0</v>
      </c>
      <c r="BG97" s="737" t="e">
        <f t="shared" si="447"/>
        <v>#DIV/0!</v>
      </c>
      <c r="BH97" s="737" t="e">
        <f t="shared" si="448"/>
        <v>#DIV/0!</v>
      </c>
      <c r="BI97" s="547" t="e">
        <f t="shared" si="449"/>
        <v>#DIV/0!</v>
      </c>
      <c r="BJ97" s="730">
        <f t="shared" si="335"/>
        <v>673213799.05999994</v>
      </c>
      <c r="BK97" s="544">
        <f t="shared" si="450"/>
        <v>639832377.52799988</v>
      </c>
      <c r="BL97" s="553">
        <f t="shared" si="451"/>
        <v>0.95041482872363858</v>
      </c>
      <c r="BM97" s="544">
        <f t="shared" si="452"/>
        <v>214457133.24600002</v>
      </c>
      <c r="BN97" s="565">
        <f t="shared" si="453"/>
        <v>0.31855724518042239</v>
      </c>
      <c r="BO97" s="548"/>
      <c r="BP97" s="552" t="s">
        <v>2357</v>
      </c>
      <c r="BQ97" s="552" t="s">
        <v>2345</v>
      </c>
      <c r="BR97" s="554" t="s">
        <v>2326</v>
      </c>
    </row>
    <row r="98" spans="1:70" ht="53.25" hidden="1" customHeight="1" x14ac:dyDescent="0.25">
      <c r="A98" s="601" t="s">
        <v>2013</v>
      </c>
      <c r="B98" s="602" t="s">
        <v>2083</v>
      </c>
      <c r="C98" s="603" t="s">
        <v>2093</v>
      </c>
      <c r="D98" s="598">
        <v>1</v>
      </c>
      <c r="E98" s="740">
        <v>1</v>
      </c>
      <c r="F98" s="740">
        <v>1</v>
      </c>
      <c r="G98" s="741">
        <v>1</v>
      </c>
      <c r="H98" s="757">
        <v>1</v>
      </c>
      <c r="I98" s="723">
        <v>0</v>
      </c>
      <c r="J98" s="541"/>
      <c r="K98" s="541"/>
      <c r="L98" s="541"/>
      <c r="M98" s="542"/>
      <c r="N98" s="542"/>
      <c r="O98" s="542"/>
      <c r="P98" s="562">
        <f t="shared" si="438"/>
        <v>1</v>
      </c>
      <c r="Q98" s="545"/>
      <c r="R98" s="545"/>
      <c r="S98" s="545"/>
      <c r="T98" s="550" t="s">
        <v>2127</v>
      </c>
      <c r="U98" s="629">
        <v>45657</v>
      </c>
      <c r="V98" s="544">
        <f t="shared" si="357"/>
        <v>4</v>
      </c>
      <c r="W98" s="544">
        <f t="shared" si="358"/>
        <v>1</v>
      </c>
      <c r="X98" s="547">
        <f t="shared" si="359"/>
        <v>0.25</v>
      </c>
      <c r="Y98" s="546">
        <v>0.2</v>
      </c>
      <c r="Z98" s="739">
        <v>0.2</v>
      </c>
      <c r="AA98" s="546"/>
      <c r="AB98" s="547"/>
      <c r="AC98" s="547"/>
      <c r="AD98" s="668">
        <f>+'Anexo 5.2 A'!BG93</f>
        <v>673213799.05999994</v>
      </c>
      <c r="AE98" s="730"/>
      <c r="AF98" s="730"/>
      <c r="AG98" s="730"/>
      <c r="AH98" s="675">
        <f>+'Anexo 5.2 A'!BH93</f>
        <v>639832377.52799988</v>
      </c>
      <c r="AI98" s="728"/>
      <c r="AJ98" s="743"/>
      <c r="AK98" s="743"/>
      <c r="AL98" s="549">
        <f t="shared" ref="AL98:AL103" si="454">+AH98/AD98</f>
        <v>0.95041482872363858</v>
      </c>
      <c r="AM98" s="549" t="e">
        <f t="shared" si="439"/>
        <v>#DIV/0!</v>
      </c>
      <c r="AN98" s="549" t="e">
        <f t="shared" si="440"/>
        <v>#DIV/0!</v>
      </c>
      <c r="AO98" s="549" t="e">
        <f t="shared" si="441"/>
        <v>#DIV/0!</v>
      </c>
      <c r="AP98" s="675">
        <f>+'Anexo 5.2 A'!BJ93</f>
        <v>214457133.24600002</v>
      </c>
      <c r="AQ98" s="675">
        <f>+'Anexo 5.2 A'!BK93</f>
        <v>0</v>
      </c>
      <c r="AR98" s="675">
        <f>+'Anexo 5.2 A'!BL93</f>
        <v>0</v>
      </c>
      <c r="AS98" s="675">
        <f>+'Anexo 5.2 A'!BM93</f>
        <v>0</v>
      </c>
      <c r="AT98" s="540">
        <f t="shared" si="442"/>
        <v>0.31855724518042239</v>
      </c>
      <c r="AU98" s="540" t="e">
        <f t="shared" si="443"/>
        <v>#DIV/0!</v>
      </c>
      <c r="AV98" s="540" t="e">
        <f t="shared" si="444"/>
        <v>#DIV/0!</v>
      </c>
      <c r="AW98" s="540" t="e">
        <f t="shared" si="445"/>
        <v>#DIV/0!</v>
      </c>
      <c r="AX98" s="676">
        <f t="shared" si="349"/>
        <v>425375244.28199983</v>
      </c>
      <c r="AY98" s="676">
        <f t="shared" si="420"/>
        <v>0</v>
      </c>
      <c r="AZ98" s="676">
        <f t="shared" si="421"/>
        <v>0</v>
      </c>
      <c r="BA98" s="676">
        <f t="shared" si="422"/>
        <v>0</v>
      </c>
      <c r="BB98" s="551"/>
      <c r="BC98" s="551"/>
      <c r="BD98" s="551"/>
      <c r="BE98" s="551"/>
      <c r="BF98" s="737">
        <f t="shared" si="446"/>
        <v>0</v>
      </c>
      <c r="BG98" s="737" t="e">
        <f t="shared" si="447"/>
        <v>#DIV/0!</v>
      </c>
      <c r="BH98" s="737" t="e">
        <f t="shared" si="448"/>
        <v>#DIV/0!</v>
      </c>
      <c r="BI98" s="547" t="e">
        <f t="shared" si="449"/>
        <v>#DIV/0!</v>
      </c>
      <c r="BJ98" s="730">
        <f t="shared" si="335"/>
        <v>673213799.05999994</v>
      </c>
      <c r="BK98" s="544">
        <f t="shared" si="450"/>
        <v>639832377.52799988</v>
      </c>
      <c r="BL98" s="553">
        <f t="shared" si="451"/>
        <v>0.95041482872363858</v>
      </c>
      <c r="BM98" s="544">
        <f t="shared" si="452"/>
        <v>214457133.24600002</v>
      </c>
      <c r="BN98" s="565">
        <f t="shared" si="453"/>
        <v>0.31855724518042239</v>
      </c>
      <c r="BO98" s="548"/>
      <c r="BP98" s="552" t="s">
        <v>2357</v>
      </c>
      <c r="BQ98" s="552" t="s">
        <v>2345</v>
      </c>
      <c r="BR98" s="554" t="s">
        <v>2326</v>
      </c>
    </row>
    <row r="99" spans="1:70" s="645" customFormat="1" ht="53.25" hidden="1" customHeight="1" x14ac:dyDescent="0.25">
      <c r="A99" s="612" t="s">
        <v>2014</v>
      </c>
      <c r="B99" s="612"/>
      <c r="C99" s="605"/>
      <c r="D99" s="534"/>
      <c r="E99" s="535"/>
      <c r="F99" s="535"/>
      <c r="G99" s="535"/>
      <c r="H99" s="535"/>
      <c r="I99" s="535"/>
      <c r="J99" s="535"/>
      <c r="K99" s="535"/>
      <c r="L99" s="535"/>
      <c r="M99" s="535"/>
      <c r="N99" s="535"/>
      <c r="O99" s="535"/>
      <c r="P99" s="536">
        <f>+SUMPRODUCT(P100:P103,Z100:Z103)</f>
        <v>1</v>
      </c>
      <c r="Q99" s="646"/>
      <c r="R99" s="646"/>
      <c r="S99" s="646"/>
      <c r="T99" s="647"/>
      <c r="U99" s="631"/>
      <c r="V99" s="653">
        <f t="shared" si="357"/>
        <v>0</v>
      </c>
      <c r="W99" s="653">
        <f t="shared" si="358"/>
        <v>0</v>
      </c>
      <c r="X99" s="564">
        <f>+SUMPRODUCT(X100:X103,Y100:Y103)</f>
        <v>0.22500000000000001</v>
      </c>
      <c r="Y99" s="648">
        <v>0.2</v>
      </c>
      <c r="Z99" s="654">
        <v>0.2</v>
      </c>
      <c r="AA99" s="648"/>
      <c r="AB99" s="649"/>
      <c r="AC99" s="649"/>
      <c r="AD99" s="667">
        <f>SUM(AD100:AD103)</f>
        <v>4832677125.6000004</v>
      </c>
      <c r="AE99" s="667">
        <f t="shared" ref="AE99:AG99" si="455">SUM(AE100:AE103)</f>
        <v>0</v>
      </c>
      <c r="AF99" s="667">
        <f t="shared" si="455"/>
        <v>0</v>
      </c>
      <c r="AG99" s="667">
        <f t="shared" si="455"/>
        <v>0</v>
      </c>
      <c r="AH99" s="667">
        <f>SUM(AH100:AH103)</f>
        <v>4499105292.71</v>
      </c>
      <c r="AI99" s="667">
        <f t="shared" ref="AI99:AK99" si="456">SUM(AI100:AI103)</f>
        <v>0</v>
      </c>
      <c r="AJ99" s="667">
        <f t="shared" si="456"/>
        <v>0</v>
      </c>
      <c r="AK99" s="667">
        <f t="shared" si="456"/>
        <v>0</v>
      </c>
      <c r="AL99" s="538">
        <f t="shared" si="454"/>
        <v>0.93097576680159744</v>
      </c>
      <c r="AM99" s="538" t="e">
        <f t="shared" si="439"/>
        <v>#DIV/0!</v>
      </c>
      <c r="AN99" s="538" t="e">
        <f t="shared" si="440"/>
        <v>#DIV/0!</v>
      </c>
      <c r="AO99" s="538" t="e">
        <f t="shared" si="441"/>
        <v>#DIV/0!</v>
      </c>
      <c r="AP99" s="667">
        <f t="shared" ref="AP99" si="457">SUM(AP100:AP103)</f>
        <v>3487623088.7100005</v>
      </c>
      <c r="AQ99" s="667">
        <f t="shared" ref="AQ99" si="458">SUM(AQ100:AQ103)</f>
        <v>0</v>
      </c>
      <c r="AR99" s="667">
        <f t="shared" ref="AR99" si="459">SUM(AR100:AR103)</f>
        <v>0</v>
      </c>
      <c r="AS99" s="667">
        <f t="shared" ref="AS99" si="460">SUM(AS100:AS103)</f>
        <v>0</v>
      </c>
      <c r="AT99" s="538">
        <f t="shared" si="442"/>
        <v>0.72167517052507313</v>
      </c>
      <c r="AU99" s="538" t="e">
        <f t="shared" si="443"/>
        <v>#DIV/0!</v>
      </c>
      <c r="AV99" s="538" t="e">
        <f t="shared" si="444"/>
        <v>#DIV/0!</v>
      </c>
      <c r="AW99" s="538" t="e">
        <f t="shared" si="445"/>
        <v>#DIV/0!</v>
      </c>
      <c r="AX99" s="667">
        <f>SUM(AX100:AX103)</f>
        <v>1011482204</v>
      </c>
      <c r="AY99" s="667">
        <f t="shared" ref="AY99:BA99" si="461">SUM(AY100:AY103)</f>
        <v>0</v>
      </c>
      <c r="AZ99" s="667">
        <f t="shared" si="461"/>
        <v>0</v>
      </c>
      <c r="BA99" s="667">
        <f t="shared" si="461"/>
        <v>0</v>
      </c>
      <c r="BB99" s="667">
        <f t="shared" ref="BB99" si="462">SUM(BB100:BB103)</f>
        <v>0</v>
      </c>
      <c r="BC99" s="667">
        <f t="shared" ref="BC99" si="463">SUM(BC100:BC103)</f>
        <v>0</v>
      </c>
      <c r="BD99" s="667">
        <f t="shared" ref="BD99" si="464">SUM(BD100:BD103)</f>
        <v>0</v>
      </c>
      <c r="BE99" s="667">
        <f t="shared" ref="BE99" si="465">SUM(BE100:BE103)</f>
        <v>0</v>
      </c>
      <c r="BF99" s="733">
        <f t="shared" si="446"/>
        <v>0</v>
      </c>
      <c r="BG99" s="733" t="e">
        <f t="shared" si="447"/>
        <v>#DIV/0!</v>
      </c>
      <c r="BH99" s="733" t="e">
        <f t="shared" si="448"/>
        <v>#DIV/0!</v>
      </c>
      <c r="BI99" s="536" t="e">
        <f t="shared" si="449"/>
        <v>#DIV/0!</v>
      </c>
      <c r="BJ99" s="537">
        <f t="shared" si="335"/>
        <v>4832677125.6000004</v>
      </c>
      <c r="BK99" s="537">
        <f t="shared" si="450"/>
        <v>4499105292.71</v>
      </c>
      <c r="BL99" s="536">
        <f t="shared" si="451"/>
        <v>0.93097576680159744</v>
      </c>
      <c r="BM99" s="537">
        <f t="shared" si="452"/>
        <v>3487623088.7100005</v>
      </c>
      <c r="BN99" s="536">
        <f t="shared" si="453"/>
        <v>0.72167517052507313</v>
      </c>
      <c r="BO99" s="650"/>
      <c r="BP99" s="650"/>
      <c r="BQ99" s="651"/>
      <c r="BR99" s="652"/>
    </row>
    <row r="100" spans="1:70" ht="53.25" hidden="1" customHeight="1" x14ac:dyDescent="0.25">
      <c r="A100" s="601" t="s">
        <v>2015</v>
      </c>
      <c r="B100" s="602" t="s">
        <v>2086</v>
      </c>
      <c r="C100" s="598" t="s">
        <v>2093</v>
      </c>
      <c r="D100" s="554">
        <v>1</v>
      </c>
      <c r="E100" s="567">
        <v>1</v>
      </c>
      <c r="F100" s="567">
        <v>1</v>
      </c>
      <c r="G100" s="568">
        <v>1</v>
      </c>
      <c r="H100" s="599">
        <v>1</v>
      </c>
      <c r="I100" s="722">
        <v>0</v>
      </c>
      <c r="J100" s="572"/>
      <c r="K100" s="572"/>
      <c r="L100" s="541"/>
      <c r="M100" s="542"/>
      <c r="N100" s="542"/>
      <c r="O100" s="542"/>
      <c r="P100" s="543">
        <f t="shared" si="438"/>
        <v>1</v>
      </c>
      <c r="Q100" s="545"/>
      <c r="R100" s="545"/>
      <c r="S100" s="545"/>
      <c r="T100" s="637" t="s">
        <v>2138</v>
      </c>
      <c r="U100" s="629">
        <v>45657</v>
      </c>
      <c r="V100" s="544">
        <f t="shared" si="357"/>
        <v>4</v>
      </c>
      <c r="W100" s="544">
        <f t="shared" si="358"/>
        <v>1</v>
      </c>
      <c r="X100" s="547">
        <f t="shared" si="359"/>
        <v>0.25</v>
      </c>
      <c r="Y100" s="546">
        <v>0.25</v>
      </c>
      <c r="Z100" s="546">
        <v>0.25</v>
      </c>
      <c r="AA100" s="546"/>
      <c r="AB100" s="547"/>
      <c r="AC100" s="547"/>
      <c r="AD100" s="668">
        <f>+'Anexo 5.2 A'!BG95</f>
        <v>1307738265.3833332</v>
      </c>
      <c r="AE100" s="730"/>
      <c r="AF100" s="730"/>
      <c r="AG100" s="730"/>
      <c r="AH100" s="675">
        <f>+'Anexo 5.2 A'!BH95</f>
        <v>1188182551.5700002</v>
      </c>
      <c r="AI100" s="728"/>
      <c r="AJ100" s="727"/>
      <c r="AK100" s="727"/>
      <c r="AL100" s="549">
        <f t="shared" si="454"/>
        <v>0.90857825531450054</v>
      </c>
      <c r="AM100" s="549" t="e">
        <f t="shared" si="439"/>
        <v>#DIV/0!</v>
      </c>
      <c r="AN100" s="549" t="e">
        <f t="shared" si="440"/>
        <v>#DIV/0!</v>
      </c>
      <c r="AO100" s="549" t="e">
        <f t="shared" si="441"/>
        <v>#DIV/0!</v>
      </c>
      <c r="AP100" s="675">
        <f>+'Anexo 5.2 A'!BJ95</f>
        <v>1165759026.5700002</v>
      </c>
      <c r="AQ100" s="675">
        <f>+'Anexo 5.2 A'!BK95</f>
        <v>0</v>
      </c>
      <c r="AR100" s="675">
        <f>+'Anexo 5.2 A'!BL95</f>
        <v>0</v>
      </c>
      <c r="AS100" s="675">
        <f>+'Anexo 5.2 A'!BM95</f>
        <v>0</v>
      </c>
      <c r="AT100" s="540">
        <f t="shared" si="442"/>
        <v>0.89143145645301192</v>
      </c>
      <c r="AU100" s="540" t="e">
        <f t="shared" si="443"/>
        <v>#DIV/0!</v>
      </c>
      <c r="AV100" s="540" t="e">
        <f t="shared" si="444"/>
        <v>#DIV/0!</v>
      </c>
      <c r="AW100" s="540" t="e">
        <f t="shared" si="445"/>
        <v>#DIV/0!</v>
      </c>
      <c r="AX100" s="676">
        <f t="shared" si="349"/>
        <v>22423525</v>
      </c>
      <c r="AY100" s="676">
        <f t="shared" ref="AY100:AY103" si="466">+AI100-AQ100</f>
        <v>0</v>
      </c>
      <c r="AZ100" s="676">
        <f t="shared" ref="AZ100:AZ103" si="467">+AJ100-AR100</f>
        <v>0</v>
      </c>
      <c r="BA100" s="676">
        <f t="shared" ref="BA100:BA103" si="468">+AK100-AS100</f>
        <v>0</v>
      </c>
      <c r="BB100" s="551"/>
      <c r="BC100" s="551"/>
      <c r="BD100" s="551"/>
      <c r="BE100" s="551"/>
      <c r="BF100" s="737">
        <f t="shared" si="446"/>
        <v>0</v>
      </c>
      <c r="BG100" s="737" t="e">
        <f t="shared" si="447"/>
        <v>#DIV/0!</v>
      </c>
      <c r="BH100" s="737" t="e">
        <f t="shared" si="448"/>
        <v>#DIV/0!</v>
      </c>
      <c r="BI100" s="547" t="e">
        <f t="shared" si="449"/>
        <v>#DIV/0!</v>
      </c>
      <c r="BJ100" s="730">
        <f t="shared" si="335"/>
        <v>1307738265.3833332</v>
      </c>
      <c r="BK100" s="544">
        <f t="shared" si="450"/>
        <v>1188182551.5700002</v>
      </c>
      <c r="BL100" s="553">
        <f t="shared" si="451"/>
        <v>0.90857825531450054</v>
      </c>
      <c r="BM100" s="544">
        <f t="shared" si="452"/>
        <v>1165759026.5700002</v>
      </c>
      <c r="BN100" s="565">
        <f>+BM100/BJ100</f>
        <v>0.89143145645301192</v>
      </c>
      <c r="BO100" s="548"/>
      <c r="BP100" s="552" t="s">
        <v>2358</v>
      </c>
      <c r="BQ100" s="552" t="s">
        <v>2345</v>
      </c>
      <c r="BR100" s="554" t="s">
        <v>2326</v>
      </c>
    </row>
    <row r="101" spans="1:70" ht="53.25" hidden="1" customHeight="1" x14ac:dyDescent="0.25">
      <c r="A101" s="613" t="s">
        <v>2016</v>
      </c>
      <c r="B101" s="602" t="s">
        <v>2087</v>
      </c>
      <c r="C101" s="600" t="s">
        <v>2093</v>
      </c>
      <c r="D101" s="554">
        <v>3</v>
      </c>
      <c r="E101" s="567">
        <v>6</v>
      </c>
      <c r="F101" s="567">
        <v>6</v>
      </c>
      <c r="G101" s="568">
        <v>5</v>
      </c>
      <c r="H101" s="599">
        <v>3</v>
      </c>
      <c r="I101" s="722">
        <v>0</v>
      </c>
      <c r="J101" s="572"/>
      <c r="K101" s="572"/>
      <c r="L101" s="541"/>
      <c r="M101" s="542"/>
      <c r="N101" s="542"/>
      <c r="O101" s="542"/>
      <c r="P101" s="543">
        <f t="shared" si="438"/>
        <v>1</v>
      </c>
      <c r="Q101" s="545"/>
      <c r="R101" s="545"/>
      <c r="S101" s="545"/>
      <c r="T101" s="637" t="s">
        <v>2128</v>
      </c>
      <c r="U101" s="629">
        <v>45657</v>
      </c>
      <c r="V101" s="544">
        <f t="shared" si="357"/>
        <v>20</v>
      </c>
      <c r="W101" s="544">
        <f t="shared" si="358"/>
        <v>3</v>
      </c>
      <c r="X101" s="547">
        <f t="shared" si="359"/>
        <v>0.15</v>
      </c>
      <c r="Y101" s="546">
        <v>0.25</v>
      </c>
      <c r="Z101" s="546">
        <v>0.25</v>
      </c>
      <c r="AA101" s="546"/>
      <c r="AB101" s="547"/>
      <c r="AC101" s="547"/>
      <c r="AD101" s="668">
        <f>+'Anexo 5.2 A'!BG96</f>
        <v>1119720798.1033335</v>
      </c>
      <c r="AE101" s="730"/>
      <c r="AF101" s="730"/>
      <c r="AG101" s="730"/>
      <c r="AH101" s="675">
        <f>+'Anexo 5.2 A'!BH96</f>
        <v>1024463049.5700001</v>
      </c>
      <c r="AI101" s="728"/>
      <c r="AJ101" s="727"/>
      <c r="AK101" s="727"/>
      <c r="AL101" s="549">
        <f t="shared" si="454"/>
        <v>0.91492723123953035</v>
      </c>
      <c r="AM101" s="549" t="e">
        <f t="shared" si="439"/>
        <v>#DIV/0!</v>
      </c>
      <c r="AN101" s="549" t="e">
        <f t="shared" si="440"/>
        <v>#DIV/0!</v>
      </c>
      <c r="AO101" s="549" t="e">
        <f t="shared" si="441"/>
        <v>#DIV/0!</v>
      </c>
      <c r="AP101" s="675">
        <f>+'Anexo 5.2 A'!BJ96</f>
        <v>1001057119.5700001</v>
      </c>
      <c r="AQ101" s="675">
        <f>+'Anexo 5.2 A'!BK96</f>
        <v>0</v>
      </c>
      <c r="AR101" s="675">
        <f>+'Anexo 5.2 A'!BL96</f>
        <v>0</v>
      </c>
      <c r="AS101" s="675">
        <f>+'Anexo 5.2 A'!BM96</f>
        <v>0</v>
      </c>
      <c r="AT101" s="540">
        <f t="shared" si="442"/>
        <v>0.89402386850870785</v>
      </c>
      <c r="AU101" s="540" t="e">
        <f t="shared" si="443"/>
        <v>#DIV/0!</v>
      </c>
      <c r="AV101" s="540" t="e">
        <f t="shared" si="444"/>
        <v>#DIV/0!</v>
      </c>
      <c r="AW101" s="540" t="e">
        <f t="shared" si="445"/>
        <v>#DIV/0!</v>
      </c>
      <c r="AX101" s="676">
        <f t="shared" si="349"/>
        <v>23405930</v>
      </c>
      <c r="AY101" s="676">
        <f t="shared" si="466"/>
        <v>0</v>
      </c>
      <c r="AZ101" s="676">
        <f t="shared" si="467"/>
        <v>0</v>
      </c>
      <c r="BA101" s="676">
        <f t="shared" si="468"/>
        <v>0</v>
      </c>
      <c r="BB101" s="551"/>
      <c r="BC101" s="551"/>
      <c r="BD101" s="551"/>
      <c r="BE101" s="551"/>
      <c r="BF101" s="737">
        <f t="shared" si="446"/>
        <v>0</v>
      </c>
      <c r="BG101" s="737" t="e">
        <f t="shared" si="447"/>
        <v>#DIV/0!</v>
      </c>
      <c r="BH101" s="737" t="e">
        <f t="shared" si="448"/>
        <v>#DIV/0!</v>
      </c>
      <c r="BI101" s="547" t="e">
        <f t="shared" si="449"/>
        <v>#DIV/0!</v>
      </c>
      <c r="BJ101" s="730">
        <f t="shared" si="335"/>
        <v>1119720798.1033335</v>
      </c>
      <c r="BK101" s="544">
        <f t="shared" si="450"/>
        <v>1024463049.5700001</v>
      </c>
      <c r="BL101" s="553">
        <f t="shared" si="451"/>
        <v>0.91492723123953035</v>
      </c>
      <c r="BM101" s="544">
        <f t="shared" si="452"/>
        <v>1001057119.5700001</v>
      </c>
      <c r="BN101" s="565">
        <f t="shared" ref="BN101:BN104" si="469">+BM101/BJ101</f>
        <v>0.89402386850870785</v>
      </c>
      <c r="BO101" s="548"/>
      <c r="BP101" s="552" t="s">
        <v>2358</v>
      </c>
      <c r="BQ101" s="552" t="s">
        <v>2347</v>
      </c>
      <c r="BR101" s="554" t="s">
        <v>2326</v>
      </c>
    </row>
    <row r="102" spans="1:70" ht="53.25" hidden="1" customHeight="1" x14ac:dyDescent="0.25">
      <c r="A102" s="601" t="s">
        <v>2017</v>
      </c>
      <c r="B102" s="602" t="s">
        <v>2088</v>
      </c>
      <c r="C102" s="603" t="s">
        <v>2093</v>
      </c>
      <c r="D102" s="598">
        <v>100</v>
      </c>
      <c r="E102" s="567">
        <v>100</v>
      </c>
      <c r="F102" s="567">
        <v>100</v>
      </c>
      <c r="G102" s="568">
        <v>100</v>
      </c>
      <c r="H102" s="599">
        <v>100</v>
      </c>
      <c r="I102" s="722">
        <v>0</v>
      </c>
      <c r="J102" s="572"/>
      <c r="K102" s="572"/>
      <c r="L102" s="541"/>
      <c r="M102" s="542"/>
      <c r="N102" s="542"/>
      <c r="O102" s="542"/>
      <c r="P102" s="543">
        <f t="shared" si="438"/>
        <v>1</v>
      </c>
      <c r="Q102" s="545"/>
      <c r="R102" s="545"/>
      <c r="S102" s="545"/>
      <c r="T102" s="637" t="s">
        <v>2129</v>
      </c>
      <c r="U102" s="629">
        <v>45657</v>
      </c>
      <c r="V102" s="544">
        <f t="shared" si="357"/>
        <v>400</v>
      </c>
      <c r="W102" s="544">
        <f t="shared" si="358"/>
        <v>100</v>
      </c>
      <c r="X102" s="547">
        <f t="shared" si="359"/>
        <v>0.25</v>
      </c>
      <c r="Y102" s="546">
        <v>0.25</v>
      </c>
      <c r="Z102" s="546">
        <v>0.25</v>
      </c>
      <c r="AA102" s="546"/>
      <c r="AB102" s="547"/>
      <c r="AC102" s="547"/>
      <c r="AD102" s="668">
        <f>+'Anexo 5.2 A'!BG97</f>
        <v>1347479796.73</v>
      </c>
      <c r="AE102" s="730"/>
      <c r="AF102" s="730"/>
      <c r="AG102" s="730"/>
      <c r="AH102" s="675">
        <f>+'Anexo 5.2 A'!BH97</f>
        <v>1347470320</v>
      </c>
      <c r="AI102" s="728"/>
      <c r="AJ102" s="727"/>
      <c r="AK102" s="727"/>
      <c r="AL102" s="549">
        <f t="shared" si="454"/>
        <v>0.99999296707080654</v>
      </c>
      <c r="AM102" s="549" t="e">
        <f t="shared" si="439"/>
        <v>#DIV/0!</v>
      </c>
      <c r="AN102" s="549" t="e">
        <f t="shared" si="440"/>
        <v>#DIV/0!</v>
      </c>
      <c r="AO102" s="549" t="e">
        <f t="shared" si="441"/>
        <v>#DIV/0!</v>
      </c>
      <c r="AP102" s="675">
        <f>+'Anexo 5.2 A'!BJ97</f>
        <v>404241096</v>
      </c>
      <c r="AQ102" s="675">
        <f>+'Anexo 5.2 A'!BK97</f>
        <v>0</v>
      </c>
      <c r="AR102" s="675">
        <f>+'Anexo 5.2 A'!BL97</f>
        <v>0</v>
      </c>
      <c r="AS102" s="675">
        <f>+'Anexo 5.2 A'!BM97</f>
        <v>0</v>
      </c>
      <c r="AT102" s="540">
        <f t="shared" si="442"/>
        <v>0.29999789012124195</v>
      </c>
      <c r="AU102" s="540" t="e">
        <f t="shared" si="443"/>
        <v>#DIV/0!</v>
      </c>
      <c r="AV102" s="540" t="e">
        <f t="shared" si="444"/>
        <v>#DIV/0!</v>
      </c>
      <c r="AW102" s="540" t="e">
        <f t="shared" si="445"/>
        <v>#DIV/0!</v>
      </c>
      <c r="AX102" s="676">
        <f t="shared" si="349"/>
        <v>943229224</v>
      </c>
      <c r="AY102" s="676">
        <f t="shared" si="466"/>
        <v>0</v>
      </c>
      <c r="AZ102" s="676">
        <f t="shared" si="467"/>
        <v>0</v>
      </c>
      <c r="BA102" s="676">
        <f t="shared" si="468"/>
        <v>0</v>
      </c>
      <c r="BB102" s="551"/>
      <c r="BC102" s="551"/>
      <c r="BD102" s="551"/>
      <c r="BE102" s="551"/>
      <c r="BF102" s="737">
        <f t="shared" si="446"/>
        <v>0</v>
      </c>
      <c r="BG102" s="737" t="e">
        <f t="shared" si="447"/>
        <v>#DIV/0!</v>
      </c>
      <c r="BH102" s="737" t="e">
        <f t="shared" si="448"/>
        <v>#DIV/0!</v>
      </c>
      <c r="BI102" s="547" t="e">
        <f t="shared" si="449"/>
        <v>#DIV/0!</v>
      </c>
      <c r="BJ102" s="730">
        <f t="shared" si="335"/>
        <v>1347479796.73</v>
      </c>
      <c r="BK102" s="544">
        <f t="shared" si="450"/>
        <v>1347470320</v>
      </c>
      <c r="BL102" s="553">
        <f t="shared" si="451"/>
        <v>0.99999296707080654</v>
      </c>
      <c r="BM102" s="544">
        <f t="shared" si="452"/>
        <v>404241096</v>
      </c>
      <c r="BN102" s="565">
        <f t="shared" si="469"/>
        <v>0.29999789012124195</v>
      </c>
      <c r="BO102" s="548"/>
      <c r="BP102" s="552" t="s">
        <v>2358</v>
      </c>
      <c r="BQ102" s="552" t="s">
        <v>2347</v>
      </c>
      <c r="BR102" s="554" t="s">
        <v>2326</v>
      </c>
    </row>
    <row r="103" spans="1:70" ht="53.25" hidden="1" customHeight="1" x14ac:dyDescent="0.25">
      <c r="A103" s="601" t="s">
        <v>2018</v>
      </c>
      <c r="B103" s="602" t="s">
        <v>2089</v>
      </c>
      <c r="C103" s="603" t="s">
        <v>2094</v>
      </c>
      <c r="D103" s="598">
        <v>100</v>
      </c>
      <c r="E103" s="567">
        <v>100</v>
      </c>
      <c r="F103" s="567">
        <v>100</v>
      </c>
      <c r="G103" s="568">
        <v>100</v>
      </c>
      <c r="H103" s="722">
        <v>100</v>
      </c>
      <c r="I103" s="722">
        <v>0</v>
      </c>
      <c r="J103" s="572"/>
      <c r="K103" s="572"/>
      <c r="L103" s="541"/>
      <c r="M103" s="542"/>
      <c r="N103" s="542"/>
      <c r="O103" s="542"/>
      <c r="P103" s="543">
        <f t="shared" si="438"/>
        <v>1</v>
      </c>
      <c r="Q103" s="545"/>
      <c r="R103" s="545"/>
      <c r="S103" s="545"/>
      <c r="T103" s="637" t="s">
        <v>2120</v>
      </c>
      <c r="U103" s="629">
        <v>45657</v>
      </c>
      <c r="V103" s="544">
        <f t="shared" si="357"/>
        <v>400</v>
      </c>
      <c r="W103" s="544">
        <f t="shared" si="358"/>
        <v>100</v>
      </c>
      <c r="X103" s="547">
        <f t="shared" si="359"/>
        <v>0.25</v>
      </c>
      <c r="Y103" s="546">
        <v>0.25</v>
      </c>
      <c r="Z103" s="546">
        <v>0.25</v>
      </c>
      <c r="AA103" s="546"/>
      <c r="AB103" s="547"/>
      <c r="AC103" s="547"/>
      <c r="AD103" s="668">
        <f>+'Anexo 5.2 A'!BG98</f>
        <v>1057738265.3833333</v>
      </c>
      <c r="AE103" s="730"/>
      <c r="AF103" s="730"/>
      <c r="AG103" s="730"/>
      <c r="AH103" s="675">
        <f>+'Anexo 5.2 A'!BH98</f>
        <v>938989371.57000005</v>
      </c>
      <c r="AI103" s="728"/>
      <c r="AJ103" s="727"/>
      <c r="AK103" s="727"/>
      <c r="AL103" s="549">
        <f t="shared" si="454"/>
        <v>0.88773319667101425</v>
      </c>
      <c r="AM103" s="549" t="e">
        <f t="shared" si="439"/>
        <v>#DIV/0!</v>
      </c>
      <c r="AN103" s="549" t="e">
        <f t="shared" si="440"/>
        <v>#DIV/0!</v>
      </c>
      <c r="AO103" s="549" t="e">
        <f t="shared" si="441"/>
        <v>#DIV/0!</v>
      </c>
      <c r="AP103" s="675">
        <f>+'Anexo 5.2 A'!BJ98</f>
        <v>916565846.57000005</v>
      </c>
      <c r="AQ103" s="675">
        <f>+'Anexo 5.2 A'!BK98</f>
        <v>0</v>
      </c>
      <c r="AR103" s="675">
        <f>+'Anexo 5.2 A'!BL98</f>
        <v>0</v>
      </c>
      <c r="AS103" s="675">
        <f>+'Anexo 5.2 A'!BM98</f>
        <v>0</v>
      </c>
      <c r="AT103" s="540">
        <f t="shared" si="442"/>
        <v>0.86653369417228066</v>
      </c>
      <c r="AU103" s="540" t="e">
        <f t="shared" si="443"/>
        <v>#DIV/0!</v>
      </c>
      <c r="AV103" s="540" t="e">
        <f t="shared" si="444"/>
        <v>#DIV/0!</v>
      </c>
      <c r="AW103" s="540" t="e">
        <f t="shared" si="445"/>
        <v>#DIV/0!</v>
      </c>
      <c r="AX103" s="676">
        <f t="shared" si="349"/>
        <v>22423525</v>
      </c>
      <c r="AY103" s="676">
        <f t="shared" si="466"/>
        <v>0</v>
      </c>
      <c r="AZ103" s="676">
        <f t="shared" si="467"/>
        <v>0</v>
      </c>
      <c r="BA103" s="676">
        <f t="shared" si="468"/>
        <v>0</v>
      </c>
      <c r="BB103" s="551"/>
      <c r="BC103" s="551"/>
      <c r="BD103" s="551"/>
      <c r="BE103" s="551"/>
      <c r="BF103" s="737">
        <f t="shared" si="446"/>
        <v>0</v>
      </c>
      <c r="BG103" s="737" t="e">
        <f t="shared" si="447"/>
        <v>#DIV/0!</v>
      </c>
      <c r="BH103" s="737" t="e">
        <f t="shared" si="448"/>
        <v>#DIV/0!</v>
      </c>
      <c r="BI103" s="547" t="e">
        <f t="shared" si="449"/>
        <v>#DIV/0!</v>
      </c>
      <c r="BJ103" s="730">
        <f t="shared" si="335"/>
        <v>1057738265.3833333</v>
      </c>
      <c r="BK103" s="544">
        <f t="shared" si="450"/>
        <v>938989371.57000005</v>
      </c>
      <c r="BL103" s="553">
        <f t="shared" si="451"/>
        <v>0.88773319667101425</v>
      </c>
      <c r="BM103" s="544">
        <f t="shared" si="452"/>
        <v>916565846.57000005</v>
      </c>
      <c r="BN103" s="565">
        <f t="shared" si="469"/>
        <v>0.86653369417228066</v>
      </c>
      <c r="BO103" s="548"/>
      <c r="BP103" s="552" t="s">
        <v>2358</v>
      </c>
      <c r="BQ103" s="552" t="s">
        <v>2347</v>
      </c>
      <c r="BR103" s="554" t="s">
        <v>2326</v>
      </c>
    </row>
    <row r="104" spans="1:70" s="645" customFormat="1" ht="53.25" customHeight="1" x14ac:dyDescent="0.25">
      <c r="A104" s="607" t="s">
        <v>2019</v>
      </c>
      <c r="B104" s="607"/>
      <c r="C104" s="608"/>
      <c r="D104" s="606"/>
      <c r="E104" s="535"/>
      <c r="F104" s="535"/>
      <c r="G104" s="535"/>
      <c r="H104" s="535"/>
      <c r="I104" s="535"/>
      <c r="J104" s="535"/>
      <c r="K104" s="535"/>
      <c r="L104" s="535"/>
      <c r="M104" s="535"/>
      <c r="N104" s="535"/>
      <c r="O104" s="535"/>
      <c r="P104" s="536">
        <f>+SUMPRODUCT(P105:P107,Z105:Z107)</f>
        <v>1</v>
      </c>
      <c r="Q104" s="646"/>
      <c r="R104" s="646"/>
      <c r="S104" s="646"/>
      <c r="T104" s="647"/>
      <c r="U104" s="631"/>
      <c r="V104" s="653">
        <f t="shared" si="357"/>
        <v>0</v>
      </c>
      <c r="W104" s="653">
        <f t="shared" si="358"/>
        <v>0</v>
      </c>
      <c r="X104" s="564">
        <f>+SUMPRODUCT(X105:X107,Y105:Y107)</f>
        <v>0.52631578947368418</v>
      </c>
      <c r="Y104" s="648">
        <v>0.2</v>
      </c>
      <c r="Z104" s="654">
        <v>0.2</v>
      </c>
      <c r="AA104" s="648"/>
      <c r="AB104" s="649"/>
      <c r="AC104" s="649"/>
      <c r="AD104" s="667">
        <f>SUM(AD105:AD107)</f>
        <v>822307786</v>
      </c>
      <c r="AE104" s="667">
        <f t="shared" ref="AE104:AG104" si="470">SUM(AE105:AE107)</f>
        <v>0</v>
      </c>
      <c r="AF104" s="667">
        <f t="shared" si="470"/>
        <v>0</v>
      </c>
      <c r="AG104" s="667">
        <f t="shared" si="470"/>
        <v>0</v>
      </c>
      <c r="AH104" s="667">
        <f>SUM(AH105:AH107)</f>
        <v>598245559</v>
      </c>
      <c r="AI104" s="667">
        <f t="shared" ref="AI104:AK104" si="471">SUM(AI105:AI107)</f>
        <v>0</v>
      </c>
      <c r="AJ104" s="667">
        <f t="shared" si="471"/>
        <v>0</v>
      </c>
      <c r="AK104" s="667">
        <f t="shared" si="471"/>
        <v>0</v>
      </c>
      <c r="AL104" s="538">
        <f t="shared" ref="AL104:AL107" si="472">+AH104/AD104</f>
        <v>0.72752024142940563</v>
      </c>
      <c r="AM104" s="538" t="e">
        <f t="shared" ref="AM104:AM107" si="473">+AI104/AE104</f>
        <v>#DIV/0!</v>
      </c>
      <c r="AN104" s="538" t="e">
        <f t="shared" ref="AN104:AN107" si="474">+AJ104/AF104</f>
        <v>#DIV/0!</v>
      </c>
      <c r="AO104" s="538" t="e">
        <f t="shared" ref="AO104:AO107" si="475">+AK104/AG104</f>
        <v>#DIV/0!</v>
      </c>
      <c r="AP104" s="667">
        <f t="shared" ref="AP104" si="476">SUM(AP105:AP107)</f>
        <v>589073639</v>
      </c>
      <c r="AQ104" s="667">
        <f t="shared" ref="AQ104" si="477">SUM(AQ105:AQ107)</f>
        <v>0</v>
      </c>
      <c r="AR104" s="667">
        <f t="shared" ref="AR104" si="478">SUM(AR105:AR107)</f>
        <v>0</v>
      </c>
      <c r="AS104" s="667">
        <f t="shared" ref="AS104" si="479">SUM(AS105:AS107)</f>
        <v>0</v>
      </c>
      <c r="AT104" s="538">
        <f t="shared" ref="AT104:AT107" si="480">+AP104/AD104</f>
        <v>0.71636636430923928</v>
      </c>
      <c r="AU104" s="538" t="e">
        <f t="shared" ref="AU104:AU107" si="481">+AQ104/AE104</f>
        <v>#DIV/0!</v>
      </c>
      <c r="AV104" s="538" t="e">
        <f t="shared" ref="AV104:AV107" si="482">+AR104/AF104</f>
        <v>#DIV/0!</v>
      </c>
      <c r="AW104" s="538" t="e">
        <f t="shared" ref="AW104:AW107" si="483">+AS104/AG104</f>
        <v>#DIV/0!</v>
      </c>
      <c r="AX104" s="667">
        <f>SUM(AX105:AX107)</f>
        <v>9171920.0000000596</v>
      </c>
      <c r="AY104" s="667">
        <f t="shared" ref="AY104:BA104" si="484">SUM(AY105:AY107)</f>
        <v>0</v>
      </c>
      <c r="AZ104" s="667">
        <f t="shared" si="484"/>
        <v>0</v>
      </c>
      <c r="BA104" s="667">
        <f t="shared" si="484"/>
        <v>0</v>
      </c>
      <c r="BB104" s="667">
        <f t="shared" ref="BB104" si="485">SUM(BB105:BB107)</f>
        <v>0</v>
      </c>
      <c r="BC104" s="667">
        <f t="shared" ref="BC104" si="486">SUM(BC105:BC107)</f>
        <v>0</v>
      </c>
      <c r="BD104" s="667">
        <f t="shared" ref="BD104" si="487">SUM(BD105:BD107)</f>
        <v>0</v>
      </c>
      <c r="BE104" s="667">
        <f t="shared" ref="BE104" si="488">SUM(BE105:BE107)</f>
        <v>0</v>
      </c>
      <c r="BF104" s="733">
        <f t="shared" ref="BF104:BF107" si="489">+BB104/AX104</f>
        <v>0</v>
      </c>
      <c r="BG104" s="733" t="e">
        <f t="shared" ref="BG104:BG107" si="490">+BC104/AY104</f>
        <v>#DIV/0!</v>
      </c>
      <c r="BH104" s="733" t="e">
        <f t="shared" ref="BH104:BH107" si="491">+BD104/AZ104</f>
        <v>#DIV/0!</v>
      </c>
      <c r="BI104" s="536" t="e">
        <f t="shared" ref="BI104:BI107" si="492">+BE104/BA104</f>
        <v>#DIV/0!</v>
      </c>
      <c r="BJ104" s="537">
        <f t="shared" si="335"/>
        <v>822307786</v>
      </c>
      <c r="BK104" s="537">
        <f t="shared" ref="BK104:BK107" si="493">+AH104+AI104+AJ104+AK104</f>
        <v>598245559</v>
      </c>
      <c r="BL104" s="536">
        <f t="shared" ref="BL104:BL107" si="494">+BK104/BJ104</f>
        <v>0.72752024142940563</v>
      </c>
      <c r="BM104" s="537">
        <f t="shared" ref="BM104:BM107" si="495">+AP104+AQ104+AR104+AS104</f>
        <v>589073639</v>
      </c>
      <c r="BN104" s="536">
        <f t="shared" si="469"/>
        <v>0.71636636430923928</v>
      </c>
      <c r="BO104" s="650"/>
      <c r="BP104" s="650"/>
      <c r="BQ104" s="651"/>
      <c r="BR104" s="652"/>
    </row>
    <row r="105" spans="1:70" ht="53.25" hidden="1" customHeight="1" x14ac:dyDescent="0.25">
      <c r="A105" s="601" t="s">
        <v>2020</v>
      </c>
      <c r="B105" s="602" t="s">
        <v>2090</v>
      </c>
      <c r="C105" s="603" t="s">
        <v>2094</v>
      </c>
      <c r="D105" s="598">
        <v>100</v>
      </c>
      <c r="E105" s="567">
        <v>30</v>
      </c>
      <c r="F105" s="567">
        <v>30</v>
      </c>
      <c r="G105" s="568">
        <v>30</v>
      </c>
      <c r="H105" s="722">
        <v>100</v>
      </c>
      <c r="I105" s="722">
        <v>0</v>
      </c>
      <c r="J105" s="572"/>
      <c r="K105" s="572"/>
      <c r="L105" s="541"/>
      <c r="M105" s="542"/>
      <c r="N105" s="542"/>
      <c r="O105" s="542"/>
      <c r="P105" s="543">
        <f t="shared" si="438"/>
        <v>1</v>
      </c>
      <c r="Q105" s="545"/>
      <c r="R105" s="545"/>
      <c r="S105" s="545"/>
      <c r="T105" s="637" t="s">
        <v>2139</v>
      </c>
      <c r="U105" s="629">
        <v>45657</v>
      </c>
      <c r="V105" s="544">
        <f t="shared" si="357"/>
        <v>190</v>
      </c>
      <c r="W105" s="544">
        <f t="shared" si="358"/>
        <v>100</v>
      </c>
      <c r="X105" s="547">
        <f t="shared" si="359"/>
        <v>0.52631578947368418</v>
      </c>
      <c r="Y105" s="546">
        <v>0.35</v>
      </c>
      <c r="Z105" s="546">
        <v>0.35</v>
      </c>
      <c r="AA105" s="546"/>
      <c r="AB105" s="547"/>
      <c r="AC105" s="547"/>
      <c r="AD105" s="668">
        <f>+'Anexo 5.2 A'!BG100</f>
        <v>274102595.33333331</v>
      </c>
      <c r="AE105" s="730"/>
      <c r="AF105" s="730"/>
      <c r="AG105" s="730"/>
      <c r="AH105" s="675">
        <f>+'Anexo 5.2 A'!BH100</f>
        <v>199415186.33333334</v>
      </c>
      <c r="AI105" s="728"/>
      <c r="AJ105" s="727"/>
      <c r="AK105" s="727"/>
      <c r="AL105" s="549">
        <f t="shared" si="472"/>
        <v>0.72752024142940575</v>
      </c>
      <c r="AM105" s="549" t="e">
        <f t="shared" si="473"/>
        <v>#DIV/0!</v>
      </c>
      <c r="AN105" s="549" t="e">
        <f t="shared" si="474"/>
        <v>#DIV/0!</v>
      </c>
      <c r="AO105" s="549" t="e">
        <f t="shared" si="475"/>
        <v>#DIV/0!</v>
      </c>
      <c r="AP105" s="675">
        <f>+'Anexo 5.2 A'!BJ100</f>
        <v>196357879.66666666</v>
      </c>
      <c r="AQ105" s="675">
        <f>+'Anexo 5.2 A'!BK100</f>
        <v>0</v>
      </c>
      <c r="AR105" s="675">
        <f>+'Anexo 5.2 A'!BL100</f>
        <v>0</v>
      </c>
      <c r="AS105" s="675">
        <f>+'Anexo 5.2 A'!BM100</f>
        <v>0</v>
      </c>
      <c r="AT105" s="540">
        <f t="shared" si="480"/>
        <v>0.71636636430923928</v>
      </c>
      <c r="AU105" s="540" t="e">
        <f t="shared" si="481"/>
        <v>#DIV/0!</v>
      </c>
      <c r="AV105" s="540" t="e">
        <f t="shared" si="482"/>
        <v>#DIV/0!</v>
      </c>
      <c r="AW105" s="540" t="e">
        <f t="shared" si="483"/>
        <v>#DIV/0!</v>
      </c>
      <c r="AX105" s="676">
        <f t="shared" si="349"/>
        <v>3057306.6666666865</v>
      </c>
      <c r="AY105" s="676">
        <f t="shared" ref="AY105:AY107" si="496">+AI105-AQ105</f>
        <v>0</v>
      </c>
      <c r="AZ105" s="676">
        <f t="shared" ref="AZ105:AZ107" si="497">+AJ105-AR105</f>
        <v>0</v>
      </c>
      <c r="BA105" s="676">
        <f t="shared" ref="BA105:BA107" si="498">+AK105-AS105</f>
        <v>0</v>
      </c>
      <c r="BB105" s="551"/>
      <c r="BC105" s="551"/>
      <c r="BD105" s="551"/>
      <c r="BE105" s="551"/>
      <c r="BF105" s="737">
        <f t="shared" si="489"/>
        <v>0</v>
      </c>
      <c r="BG105" s="737" t="e">
        <f t="shared" si="490"/>
        <v>#DIV/0!</v>
      </c>
      <c r="BH105" s="737" t="e">
        <f t="shared" si="491"/>
        <v>#DIV/0!</v>
      </c>
      <c r="BI105" s="547" t="e">
        <f t="shared" si="492"/>
        <v>#DIV/0!</v>
      </c>
      <c r="BJ105" s="730">
        <f t="shared" si="335"/>
        <v>274102595.33333331</v>
      </c>
      <c r="BK105" s="544">
        <f t="shared" si="493"/>
        <v>199415186.33333334</v>
      </c>
      <c r="BL105" s="553">
        <f t="shared" si="494"/>
        <v>0.72752024142940575</v>
      </c>
      <c r="BM105" s="544">
        <f t="shared" si="495"/>
        <v>196357879.66666666</v>
      </c>
      <c r="BN105" s="565">
        <f>+BM105/BJ105</f>
        <v>0.71636636430923928</v>
      </c>
      <c r="BO105" s="548"/>
      <c r="BP105" s="552" t="s">
        <v>2357</v>
      </c>
      <c r="BQ105" s="552" t="s">
        <v>2348</v>
      </c>
      <c r="BR105" s="554" t="s">
        <v>2326</v>
      </c>
    </row>
    <row r="106" spans="1:70" ht="53.25" hidden="1" customHeight="1" x14ac:dyDescent="0.25">
      <c r="A106" s="601" t="s">
        <v>2021</v>
      </c>
      <c r="B106" s="602" t="s">
        <v>2091</v>
      </c>
      <c r="C106" s="603" t="s">
        <v>2094</v>
      </c>
      <c r="D106" s="598">
        <v>100</v>
      </c>
      <c r="E106" s="567">
        <v>30</v>
      </c>
      <c r="F106" s="567">
        <v>30</v>
      </c>
      <c r="G106" s="568">
        <v>30</v>
      </c>
      <c r="H106" s="722">
        <v>100</v>
      </c>
      <c r="I106" s="722">
        <v>0</v>
      </c>
      <c r="J106" s="572"/>
      <c r="K106" s="572"/>
      <c r="L106" s="541"/>
      <c r="M106" s="542"/>
      <c r="N106" s="542"/>
      <c r="O106" s="542"/>
      <c r="P106" s="543">
        <f t="shared" si="438"/>
        <v>1</v>
      </c>
      <c r="Q106" s="545"/>
      <c r="R106" s="545"/>
      <c r="S106" s="545"/>
      <c r="T106" s="637" t="s">
        <v>2130</v>
      </c>
      <c r="U106" s="629">
        <v>45657</v>
      </c>
      <c r="V106" s="544">
        <f t="shared" si="357"/>
        <v>190</v>
      </c>
      <c r="W106" s="544">
        <f t="shared" si="358"/>
        <v>100</v>
      </c>
      <c r="X106" s="547">
        <f t="shared" si="359"/>
        <v>0.52631578947368418</v>
      </c>
      <c r="Y106" s="546">
        <v>0.35</v>
      </c>
      <c r="Z106" s="546">
        <v>0.35</v>
      </c>
      <c r="AA106" s="546"/>
      <c r="AB106" s="547"/>
      <c r="AC106" s="547"/>
      <c r="AD106" s="668">
        <f>+'Anexo 5.2 A'!BG101</f>
        <v>274102595.33333331</v>
      </c>
      <c r="AE106" s="730"/>
      <c r="AF106" s="730"/>
      <c r="AG106" s="730"/>
      <c r="AH106" s="675">
        <f>+'Anexo 5.2 A'!BH101</f>
        <v>199415186.33333334</v>
      </c>
      <c r="AI106" s="728"/>
      <c r="AJ106" s="727"/>
      <c r="AK106" s="727"/>
      <c r="AL106" s="549">
        <f t="shared" si="472"/>
        <v>0.72752024142940575</v>
      </c>
      <c r="AM106" s="549" t="e">
        <f t="shared" si="473"/>
        <v>#DIV/0!</v>
      </c>
      <c r="AN106" s="549" t="e">
        <f t="shared" si="474"/>
        <v>#DIV/0!</v>
      </c>
      <c r="AO106" s="549" t="e">
        <f t="shared" si="475"/>
        <v>#DIV/0!</v>
      </c>
      <c r="AP106" s="675">
        <f>+'Anexo 5.2 A'!BJ101</f>
        <v>196357879.66666666</v>
      </c>
      <c r="AQ106" s="675">
        <f>+'Anexo 5.2 A'!BK101</f>
        <v>0</v>
      </c>
      <c r="AR106" s="675">
        <f>+'Anexo 5.2 A'!BL101</f>
        <v>0</v>
      </c>
      <c r="AS106" s="675">
        <f>+'Anexo 5.2 A'!BM101</f>
        <v>0</v>
      </c>
      <c r="AT106" s="540">
        <f t="shared" si="480"/>
        <v>0.71636636430923928</v>
      </c>
      <c r="AU106" s="540" t="e">
        <f t="shared" si="481"/>
        <v>#DIV/0!</v>
      </c>
      <c r="AV106" s="540" t="e">
        <f t="shared" si="482"/>
        <v>#DIV/0!</v>
      </c>
      <c r="AW106" s="540" t="e">
        <f t="shared" si="483"/>
        <v>#DIV/0!</v>
      </c>
      <c r="AX106" s="676">
        <f t="shared" si="349"/>
        <v>3057306.6666666865</v>
      </c>
      <c r="AY106" s="676">
        <f t="shared" si="496"/>
        <v>0</v>
      </c>
      <c r="AZ106" s="676">
        <f t="shared" si="497"/>
        <v>0</v>
      </c>
      <c r="BA106" s="676">
        <f t="shared" si="498"/>
        <v>0</v>
      </c>
      <c r="BB106" s="551"/>
      <c r="BC106" s="551"/>
      <c r="BD106" s="551"/>
      <c r="BE106" s="551"/>
      <c r="BF106" s="737">
        <f t="shared" si="489"/>
        <v>0</v>
      </c>
      <c r="BG106" s="737" t="e">
        <f t="shared" si="490"/>
        <v>#DIV/0!</v>
      </c>
      <c r="BH106" s="737" t="e">
        <f t="shared" si="491"/>
        <v>#DIV/0!</v>
      </c>
      <c r="BI106" s="547" t="e">
        <f t="shared" si="492"/>
        <v>#DIV/0!</v>
      </c>
      <c r="BJ106" s="730">
        <f t="shared" si="335"/>
        <v>274102595.33333331</v>
      </c>
      <c r="BK106" s="544">
        <f t="shared" si="493"/>
        <v>199415186.33333334</v>
      </c>
      <c r="BL106" s="553">
        <f t="shared" si="494"/>
        <v>0.72752024142940575</v>
      </c>
      <c r="BM106" s="544">
        <f t="shared" si="495"/>
        <v>196357879.66666666</v>
      </c>
      <c r="BN106" s="565">
        <f t="shared" ref="BN106:BN107" si="499">+BM106/BJ106</f>
        <v>0.71636636430923928</v>
      </c>
      <c r="BO106" s="548"/>
      <c r="BP106" s="552" t="s">
        <v>2357</v>
      </c>
      <c r="BQ106" s="552" t="s">
        <v>2348</v>
      </c>
      <c r="BR106" s="554" t="s">
        <v>2326</v>
      </c>
    </row>
    <row r="107" spans="1:70" ht="53.25" hidden="1" customHeight="1" x14ac:dyDescent="0.25">
      <c r="A107" s="601" t="s">
        <v>2022</v>
      </c>
      <c r="B107" s="602" t="s">
        <v>2092</v>
      </c>
      <c r="C107" s="603" t="s">
        <v>2094</v>
      </c>
      <c r="D107" s="598">
        <v>100</v>
      </c>
      <c r="E107" s="567">
        <v>30</v>
      </c>
      <c r="F107" s="567">
        <v>30</v>
      </c>
      <c r="G107" s="568">
        <v>30</v>
      </c>
      <c r="H107" s="722">
        <v>100</v>
      </c>
      <c r="I107" s="722">
        <v>0</v>
      </c>
      <c r="J107" s="572"/>
      <c r="K107" s="572"/>
      <c r="L107" s="541"/>
      <c r="M107" s="542"/>
      <c r="N107" s="542"/>
      <c r="O107" s="542"/>
      <c r="P107" s="543">
        <f t="shared" si="438"/>
        <v>1</v>
      </c>
      <c r="Q107" s="545"/>
      <c r="R107" s="545"/>
      <c r="S107" s="545"/>
      <c r="T107" s="637" t="s">
        <v>2131</v>
      </c>
      <c r="U107" s="629">
        <v>45657</v>
      </c>
      <c r="V107" s="544">
        <f t="shared" si="357"/>
        <v>190</v>
      </c>
      <c r="W107" s="544">
        <f t="shared" si="358"/>
        <v>100</v>
      </c>
      <c r="X107" s="547">
        <f t="shared" si="359"/>
        <v>0.52631578947368418</v>
      </c>
      <c r="Y107" s="546">
        <v>0.3</v>
      </c>
      <c r="Z107" s="546">
        <v>0.3</v>
      </c>
      <c r="AA107" s="546"/>
      <c r="AB107" s="547"/>
      <c r="AC107" s="547"/>
      <c r="AD107" s="668">
        <f>+'Anexo 5.2 A'!BG102</f>
        <v>274102595.33333331</v>
      </c>
      <c r="AE107" s="730"/>
      <c r="AF107" s="730"/>
      <c r="AG107" s="730"/>
      <c r="AH107" s="675">
        <f>+'Anexo 5.2 A'!BH102</f>
        <v>199415186.33333334</v>
      </c>
      <c r="AI107" s="728"/>
      <c r="AJ107" s="727"/>
      <c r="AK107" s="727"/>
      <c r="AL107" s="549">
        <f t="shared" si="472"/>
        <v>0.72752024142940575</v>
      </c>
      <c r="AM107" s="549" t="e">
        <f t="shared" si="473"/>
        <v>#DIV/0!</v>
      </c>
      <c r="AN107" s="549" t="e">
        <f t="shared" si="474"/>
        <v>#DIV/0!</v>
      </c>
      <c r="AO107" s="549" t="e">
        <f t="shared" si="475"/>
        <v>#DIV/0!</v>
      </c>
      <c r="AP107" s="675">
        <f>+'Anexo 5.2 A'!BJ102</f>
        <v>196357879.66666666</v>
      </c>
      <c r="AQ107" s="675">
        <f>+'Anexo 5.2 A'!BK102</f>
        <v>0</v>
      </c>
      <c r="AR107" s="675">
        <f>+'Anexo 5.2 A'!BL102</f>
        <v>0</v>
      </c>
      <c r="AS107" s="675">
        <f>+'Anexo 5.2 A'!BM102</f>
        <v>0</v>
      </c>
      <c r="AT107" s="540">
        <f t="shared" si="480"/>
        <v>0.71636636430923928</v>
      </c>
      <c r="AU107" s="540" t="e">
        <f t="shared" si="481"/>
        <v>#DIV/0!</v>
      </c>
      <c r="AV107" s="540" t="e">
        <f t="shared" si="482"/>
        <v>#DIV/0!</v>
      </c>
      <c r="AW107" s="540" t="e">
        <f t="shared" si="483"/>
        <v>#DIV/0!</v>
      </c>
      <c r="AX107" s="676">
        <f t="shared" si="349"/>
        <v>3057306.6666666865</v>
      </c>
      <c r="AY107" s="676">
        <f t="shared" si="496"/>
        <v>0</v>
      </c>
      <c r="AZ107" s="676">
        <f t="shared" si="497"/>
        <v>0</v>
      </c>
      <c r="BA107" s="676">
        <f t="shared" si="498"/>
        <v>0</v>
      </c>
      <c r="BB107" s="551"/>
      <c r="BC107" s="551"/>
      <c r="BD107" s="551"/>
      <c r="BE107" s="551"/>
      <c r="BF107" s="737">
        <f t="shared" si="489"/>
        <v>0</v>
      </c>
      <c r="BG107" s="737" t="e">
        <f t="shared" si="490"/>
        <v>#DIV/0!</v>
      </c>
      <c r="BH107" s="737" t="e">
        <f t="shared" si="491"/>
        <v>#DIV/0!</v>
      </c>
      <c r="BI107" s="547" t="e">
        <f t="shared" si="492"/>
        <v>#DIV/0!</v>
      </c>
      <c r="BJ107" s="730">
        <f t="shared" si="335"/>
        <v>274102595.33333331</v>
      </c>
      <c r="BK107" s="544">
        <f t="shared" si="493"/>
        <v>199415186.33333334</v>
      </c>
      <c r="BL107" s="553">
        <f t="shared" si="494"/>
        <v>0.72752024142940575</v>
      </c>
      <c r="BM107" s="544">
        <f t="shared" si="495"/>
        <v>196357879.66666666</v>
      </c>
      <c r="BN107" s="565">
        <f t="shared" si="499"/>
        <v>0.71636636430923928</v>
      </c>
      <c r="BO107" s="548"/>
      <c r="BP107" s="552" t="s">
        <v>2357</v>
      </c>
      <c r="BQ107" s="552" t="s">
        <v>2348</v>
      </c>
      <c r="BR107" s="554" t="s">
        <v>2326</v>
      </c>
    </row>
    <row r="108" spans="1:70" ht="54.75" customHeight="1" x14ac:dyDescent="0.25">
      <c r="A108" s="901" t="s">
        <v>1862</v>
      </c>
      <c r="B108" s="902"/>
      <c r="C108" s="902"/>
      <c r="D108" s="902"/>
      <c r="E108" s="902"/>
      <c r="F108" s="902"/>
      <c r="G108" s="902"/>
      <c r="H108" s="902"/>
      <c r="I108" s="902"/>
      <c r="J108" s="902"/>
      <c r="K108" s="902"/>
      <c r="L108" s="902"/>
      <c r="M108" s="902"/>
      <c r="N108" s="902"/>
      <c r="O108" s="903"/>
      <c r="P108" s="576">
        <f>(P7*Z7)+(P26*Z26)+(P55*Z55)+(P71*Z71)</f>
        <v>0.98575000000000013</v>
      </c>
      <c r="Q108" s="576" t="e">
        <f>(Q7*AA7)+(Q26*AA26)+(#REF!*#REF!)+(Q55*AA55)+(Q71*AA71)</f>
        <v>#REF!</v>
      </c>
      <c r="R108" s="576" t="e">
        <f>(R7*AB7)+(R26*AB26)+(#REF!*#REF!)+(R55*AB55)+(R71*AB71)</f>
        <v>#DIV/0!</v>
      </c>
      <c r="S108" s="576" t="e">
        <f>(S7*AC7)+(S26*AC26)+(#REF!*#REF!)+(S55*AC55)+(S71*AC71)</f>
        <v>#DIV/0!</v>
      </c>
      <c r="T108" s="579"/>
      <c r="U108" s="574"/>
      <c r="V108" s="574"/>
      <c r="W108" s="574"/>
      <c r="X108" s="575">
        <f>+(X7*Y7)+(X26*Y26)+(X55*Y55)+(X71*Y71)</f>
        <v>0.21397449000407998</v>
      </c>
      <c r="Y108" s="576"/>
      <c r="Z108" s="576"/>
      <c r="AA108" s="576"/>
      <c r="AB108" s="576"/>
      <c r="AC108" s="576"/>
      <c r="AD108" s="670">
        <f t="shared" ref="AD108:AK108" si="500">+AD7+AD26+AD55+AD71</f>
        <v>100248800161.62</v>
      </c>
      <c r="AE108" s="670">
        <f t="shared" si="500"/>
        <v>0</v>
      </c>
      <c r="AF108" s="670">
        <f t="shared" si="500"/>
        <v>0</v>
      </c>
      <c r="AG108" s="670">
        <f t="shared" si="500"/>
        <v>0</v>
      </c>
      <c r="AH108" s="670">
        <f t="shared" si="500"/>
        <v>98207059938.230011</v>
      </c>
      <c r="AI108" s="670">
        <f t="shared" si="500"/>
        <v>0</v>
      </c>
      <c r="AJ108" s="670">
        <f t="shared" si="500"/>
        <v>0</v>
      </c>
      <c r="AK108" s="670">
        <f t="shared" si="500"/>
        <v>0</v>
      </c>
      <c r="AL108" s="577">
        <f t="shared" ref="AL108:AN108" si="501">+AH108/AD108</f>
        <v>0.97963327022270275</v>
      </c>
      <c r="AM108" s="577" t="e">
        <f t="shared" si="501"/>
        <v>#DIV/0!</v>
      </c>
      <c r="AN108" s="577" t="e">
        <f t="shared" si="501"/>
        <v>#DIV/0!</v>
      </c>
      <c r="AO108" s="577" t="e">
        <f t="shared" si="253"/>
        <v>#DIV/0!</v>
      </c>
      <c r="AP108" s="670">
        <f>+AP7+AP26+AP55+AP71</f>
        <v>62387436097.139999</v>
      </c>
      <c r="AQ108" s="670">
        <f>+AQ7+AQ26+AQ55+AQ71</f>
        <v>0</v>
      </c>
      <c r="AR108" s="670">
        <f>+AR7+AR26+AR55+AR71</f>
        <v>0</v>
      </c>
      <c r="AS108" s="670">
        <f>+AS7+AS26+AS55+AS71</f>
        <v>0</v>
      </c>
      <c r="AT108" s="577">
        <f t="shared" si="261"/>
        <v>0.62232601284563682</v>
      </c>
      <c r="AU108" s="577" t="e">
        <f t="shared" si="261"/>
        <v>#DIV/0!</v>
      </c>
      <c r="AV108" s="577" t="e">
        <f t="shared" si="261"/>
        <v>#DIV/0!</v>
      </c>
      <c r="AW108" s="577" t="e">
        <f t="shared" si="254"/>
        <v>#DIV/0!</v>
      </c>
      <c r="AX108" s="670">
        <f>+AX7+AX26+AX55+AX71</f>
        <v>35819623841.090004</v>
      </c>
      <c r="AY108" s="670">
        <f t="shared" ref="AY108:BE108" si="502">+AY7+AY26+AY55+AY71</f>
        <v>0</v>
      </c>
      <c r="AZ108" s="670">
        <f t="shared" si="502"/>
        <v>0</v>
      </c>
      <c r="BA108" s="670">
        <f t="shared" si="502"/>
        <v>0</v>
      </c>
      <c r="BB108" s="670">
        <f t="shared" si="502"/>
        <v>0</v>
      </c>
      <c r="BC108" s="670">
        <f t="shared" si="502"/>
        <v>0</v>
      </c>
      <c r="BD108" s="670">
        <f t="shared" si="502"/>
        <v>0</v>
      </c>
      <c r="BE108" s="670">
        <f t="shared" si="502"/>
        <v>0</v>
      </c>
      <c r="BF108" s="736">
        <f t="shared" si="262"/>
        <v>0</v>
      </c>
      <c r="BG108" s="736" t="e">
        <f t="shared" si="262"/>
        <v>#DIV/0!</v>
      </c>
      <c r="BH108" s="736" t="e">
        <f t="shared" si="262"/>
        <v>#DIV/0!</v>
      </c>
      <c r="BI108" s="575" t="e">
        <f t="shared" si="262"/>
        <v>#DIV/0!</v>
      </c>
      <c r="BJ108" s="578">
        <f t="shared" ref="BJ108" si="503">+AD108+AE108+AF108+AG108</f>
        <v>100248800161.62</v>
      </c>
      <c r="BK108" s="578">
        <f t="shared" si="263"/>
        <v>98207059938.230011</v>
      </c>
      <c r="BL108" s="576">
        <f>+BK108/BJ108</f>
        <v>0.97963327022270275</v>
      </c>
      <c r="BM108" s="578">
        <f t="shared" si="265"/>
        <v>62387436097.139999</v>
      </c>
      <c r="BN108" s="576">
        <f>+BM108/BJ108</f>
        <v>0.62232601284563682</v>
      </c>
      <c r="BO108" s="580"/>
      <c r="BP108" s="581"/>
      <c r="BQ108" s="581"/>
      <c r="BR108" s="581"/>
    </row>
    <row r="109" spans="1:70" x14ac:dyDescent="0.25">
      <c r="A109" s="380"/>
      <c r="B109" s="380"/>
      <c r="C109" s="380"/>
      <c r="D109" s="380"/>
      <c r="E109" s="511"/>
      <c r="F109" s="511"/>
      <c r="G109" s="582"/>
      <c r="H109" s="511"/>
      <c r="I109" s="511"/>
      <c r="J109" s="582"/>
      <c r="K109" s="511"/>
      <c r="L109" s="511"/>
      <c r="M109" s="582"/>
      <c r="N109" s="582"/>
      <c r="O109" s="582"/>
      <c r="P109" s="582"/>
      <c r="Q109" s="511"/>
      <c r="R109" s="511"/>
      <c r="S109" s="511"/>
      <c r="T109" s="639"/>
      <c r="U109" s="511"/>
      <c r="V109" s="511"/>
      <c r="W109" s="511"/>
      <c r="X109" s="511"/>
      <c r="Y109" s="380"/>
      <c r="Z109" s="380"/>
      <c r="AA109" s="380"/>
      <c r="AB109" s="380"/>
      <c r="AC109" s="380"/>
      <c r="AD109" s="671"/>
      <c r="AE109" s="380"/>
      <c r="AF109" s="380"/>
      <c r="AG109" s="380"/>
      <c r="AH109" s="671"/>
      <c r="AI109" s="380"/>
      <c r="AJ109" s="583"/>
      <c r="AK109" s="583"/>
      <c r="AL109" s="511"/>
      <c r="AM109" s="584"/>
      <c r="AN109" s="584"/>
      <c r="AO109" s="584"/>
      <c r="AP109" s="671"/>
      <c r="AQ109" s="584"/>
      <c r="AR109" s="583"/>
      <c r="AS109" s="583"/>
      <c r="AT109" s="585"/>
      <c r="AU109" s="585"/>
      <c r="AV109" s="585"/>
      <c r="AW109" s="585"/>
      <c r="AX109" s="673"/>
      <c r="AY109" s="380"/>
      <c r="AZ109" s="380"/>
      <c r="BA109" s="380"/>
      <c r="BB109" s="380"/>
      <c r="BC109" s="586"/>
      <c r="BD109" s="586"/>
      <c r="BE109" s="380"/>
      <c r="BF109" s="380"/>
      <c r="BG109" s="380"/>
      <c r="BH109" s="380"/>
      <c r="BI109" s="511"/>
      <c r="BJ109" s="380"/>
      <c r="BK109" s="380"/>
      <c r="BL109" s="380"/>
      <c r="BM109" s="380"/>
      <c r="BN109" s="380"/>
      <c r="BO109" s="380"/>
      <c r="BP109" s="380"/>
      <c r="BQ109" s="380"/>
      <c r="BR109" s="380"/>
    </row>
    <row r="110" spans="1:70" ht="12.75" customHeight="1" x14ac:dyDescent="0.25">
      <c r="A110" s="380"/>
      <c r="B110" s="380"/>
      <c r="C110" s="380"/>
      <c r="D110" s="380"/>
      <c r="E110" s="511"/>
      <c r="F110" s="511"/>
      <c r="G110" s="582"/>
      <c r="H110" s="511"/>
      <c r="I110" s="511"/>
      <c r="J110" s="582"/>
      <c r="K110" s="511"/>
      <c r="L110" s="511"/>
      <c r="M110" s="582"/>
      <c r="N110" s="582"/>
      <c r="O110" s="582"/>
      <c r="P110" s="582"/>
      <c r="Q110" s="511"/>
      <c r="R110" s="511"/>
      <c r="S110" s="511"/>
      <c r="T110" s="639"/>
      <c r="U110" s="511"/>
      <c r="V110" s="511"/>
      <c r="W110" s="511"/>
      <c r="X110" s="511"/>
      <c r="Y110" s="380"/>
      <c r="Z110" s="380"/>
      <c r="AA110" s="380"/>
      <c r="AB110" s="380"/>
      <c r="AC110" s="380"/>
      <c r="AD110" s="671"/>
      <c r="AE110" s="380"/>
      <c r="AF110" s="380"/>
      <c r="AG110" s="380"/>
      <c r="AH110" s="671"/>
      <c r="AI110" s="380"/>
      <c r="AJ110" s="583"/>
      <c r="AK110" s="583"/>
      <c r="AL110" s="511"/>
      <c r="AM110" s="584"/>
      <c r="AN110" s="584"/>
      <c r="AO110" s="584"/>
      <c r="AP110" s="671"/>
      <c r="AQ110" s="584"/>
      <c r="AR110" s="583"/>
      <c r="AS110" s="583"/>
      <c r="AT110" s="585"/>
      <c r="AU110" s="585"/>
      <c r="AV110" s="585"/>
      <c r="AW110" s="585"/>
      <c r="AX110" s="673"/>
      <c r="AY110" s="380"/>
      <c r="AZ110" s="380"/>
      <c r="BA110" s="380"/>
      <c r="BB110" s="380"/>
      <c r="BC110" s="380"/>
      <c r="BD110" s="380"/>
      <c r="BE110" s="587"/>
      <c r="BF110" s="380"/>
      <c r="BG110" s="587"/>
      <c r="BH110" s="380"/>
      <c r="BI110" s="511"/>
      <c r="BJ110" s="380"/>
      <c r="BK110" s="380"/>
      <c r="BL110" s="380"/>
      <c r="BM110" s="380"/>
      <c r="BN110" s="380"/>
      <c r="BO110" s="380"/>
      <c r="BP110" s="380"/>
      <c r="BQ110" s="380"/>
      <c r="BR110" s="380"/>
    </row>
    <row r="111" spans="1:70" ht="12.75" customHeight="1" x14ac:dyDescent="0.25">
      <c r="A111" s="380"/>
      <c r="B111" s="380"/>
      <c r="C111" s="380"/>
      <c r="D111" s="380"/>
      <c r="E111" s="511"/>
      <c r="F111" s="511"/>
      <c r="G111" s="582"/>
      <c r="H111" s="511"/>
      <c r="I111" s="511"/>
      <c r="J111" s="582"/>
      <c r="K111" s="511"/>
      <c r="L111" s="511"/>
      <c r="M111" s="582"/>
      <c r="N111" s="582"/>
      <c r="O111" s="582"/>
      <c r="P111" s="582"/>
      <c r="Q111" s="511"/>
      <c r="R111" s="511"/>
      <c r="S111" s="511"/>
      <c r="T111" s="639"/>
      <c r="U111" s="511"/>
      <c r="V111" s="511"/>
      <c r="W111" s="511"/>
      <c r="X111" s="511"/>
      <c r="Y111" s="380"/>
      <c r="Z111" s="380"/>
      <c r="AA111" s="380"/>
      <c r="AB111" s="380"/>
      <c r="AC111" s="380"/>
      <c r="AD111" s="671"/>
      <c r="AE111" s="380"/>
      <c r="AF111" s="380"/>
      <c r="AG111" s="380"/>
      <c r="AH111" s="671"/>
      <c r="AI111" s="380"/>
      <c r="AJ111" s="583"/>
      <c r="AK111" s="583"/>
      <c r="AL111" s="511"/>
      <c r="AM111" s="584"/>
      <c r="AN111" s="584"/>
      <c r="AO111" s="584"/>
      <c r="AP111" s="671"/>
      <c r="AQ111" s="584"/>
      <c r="AR111" s="583"/>
      <c r="AS111" s="583"/>
      <c r="AT111" s="585"/>
      <c r="AU111" s="585"/>
      <c r="AV111" s="585"/>
      <c r="AW111" s="585"/>
      <c r="AX111" s="673"/>
      <c r="AY111" s="380"/>
      <c r="AZ111" s="380"/>
      <c r="BA111" s="380"/>
      <c r="BB111" s="380"/>
      <c r="BC111" s="380"/>
      <c r="BD111" s="380"/>
      <c r="BE111" s="380"/>
      <c r="BF111" s="380"/>
      <c r="BG111" s="380"/>
      <c r="BH111" s="380"/>
      <c r="BI111" s="511"/>
      <c r="BJ111" s="380"/>
      <c r="BK111" s="380"/>
      <c r="BL111" s="380"/>
      <c r="BM111" s="380"/>
      <c r="BN111" s="380"/>
      <c r="BO111" s="380"/>
      <c r="BP111" s="380"/>
      <c r="BQ111" s="380"/>
      <c r="BR111" s="380"/>
    </row>
    <row r="112" spans="1:70" ht="12.75" customHeight="1" x14ac:dyDescent="0.25">
      <c r="A112" s="380"/>
      <c r="B112" s="380"/>
      <c r="C112" s="380"/>
      <c r="D112" s="380"/>
      <c r="E112" s="511"/>
      <c r="F112" s="511"/>
      <c r="G112" s="582"/>
      <c r="H112" s="511"/>
      <c r="I112" s="511"/>
      <c r="J112" s="582"/>
      <c r="K112" s="511"/>
      <c r="L112" s="511"/>
      <c r="M112" s="582"/>
      <c r="N112" s="582"/>
      <c r="O112" s="582"/>
      <c r="P112" s="582"/>
      <c r="Q112" s="511"/>
      <c r="R112" s="511"/>
      <c r="S112" s="511"/>
      <c r="T112" s="639"/>
      <c r="U112" s="511"/>
      <c r="V112" s="511"/>
      <c r="W112" s="511"/>
      <c r="X112" s="511"/>
      <c r="Y112" s="380"/>
      <c r="Z112" s="380"/>
      <c r="AA112" s="380"/>
      <c r="AB112" s="380"/>
      <c r="AC112" s="380"/>
      <c r="AD112" s="671"/>
      <c r="AE112" s="380"/>
      <c r="AF112" s="380"/>
      <c r="AG112" s="380"/>
      <c r="AH112" s="671"/>
      <c r="AI112" s="380"/>
      <c r="AJ112" s="583"/>
      <c r="AK112" s="583"/>
      <c r="AL112" s="511"/>
      <c r="AM112" s="584"/>
      <c r="AN112" s="584"/>
      <c r="AO112" s="584"/>
      <c r="AP112" s="671"/>
      <c r="AQ112" s="584"/>
      <c r="AR112" s="583"/>
      <c r="AS112" s="583"/>
      <c r="AT112" s="585"/>
      <c r="AU112" s="585"/>
      <c r="AV112" s="585"/>
      <c r="AW112" s="585"/>
      <c r="AX112" s="673"/>
      <c r="AY112" s="380"/>
      <c r="AZ112" s="380"/>
      <c r="BA112" s="380"/>
      <c r="BB112" s="380"/>
      <c r="BC112" s="380"/>
      <c r="BD112" s="380"/>
      <c r="BE112" s="380"/>
      <c r="BF112" s="380"/>
      <c r="BG112" s="380"/>
      <c r="BH112" s="380"/>
      <c r="BI112" s="511"/>
      <c r="BJ112" s="380"/>
      <c r="BK112" s="380"/>
      <c r="BL112" s="380"/>
      <c r="BM112" s="380"/>
      <c r="BN112" s="380"/>
      <c r="BO112" s="380"/>
      <c r="BP112" s="380"/>
      <c r="BQ112" s="380"/>
      <c r="BR112" s="380"/>
    </row>
    <row r="113" spans="1:70" ht="12.75" customHeight="1" x14ac:dyDescent="0.25">
      <c r="A113" s="380"/>
      <c r="B113" s="380"/>
      <c r="C113" s="380"/>
      <c r="D113" s="380"/>
      <c r="E113" s="511"/>
      <c r="F113" s="511"/>
      <c r="G113" s="582"/>
      <c r="H113" s="511"/>
      <c r="I113" s="511"/>
      <c r="J113" s="582"/>
      <c r="K113" s="511"/>
      <c r="L113" s="511"/>
      <c r="M113" s="582"/>
      <c r="N113" s="582"/>
      <c r="O113" s="582"/>
      <c r="P113" s="582"/>
      <c r="Q113" s="511"/>
      <c r="R113" s="511"/>
      <c r="S113" s="511"/>
      <c r="T113" s="639"/>
      <c r="U113" s="511"/>
      <c r="V113" s="511"/>
      <c r="W113" s="511"/>
      <c r="X113" s="511"/>
      <c r="Y113" s="380"/>
      <c r="Z113" s="380"/>
      <c r="AA113" s="380"/>
      <c r="AB113" s="380"/>
      <c r="AC113" s="380"/>
      <c r="AD113" s="671"/>
      <c r="AE113" s="380"/>
      <c r="AF113" s="380"/>
      <c r="AG113" s="380"/>
      <c r="AH113" s="671"/>
      <c r="AI113" s="380"/>
      <c r="AJ113" s="583"/>
      <c r="AK113" s="583"/>
      <c r="AL113" s="511"/>
      <c r="AM113" s="584"/>
      <c r="AN113" s="584"/>
      <c r="AO113" s="584"/>
      <c r="AP113" s="671"/>
      <c r="AQ113" s="584"/>
      <c r="AR113" s="583"/>
      <c r="AS113" s="583"/>
      <c r="AT113" s="585"/>
      <c r="AU113" s="585"/>
      <c r="AV113" s="585"/>
      <c r="AW113" s="585"/>
      <c r="AX113" s="673"/>
      <c r="AY113" s="380"/>
      <c r="AZ113" s="380"/>
      <c r="BA113" s="380"/>
      <c r="BB113" s="380"/>
      <c r="BC113" s="380"/>
      <c r="BD113" s="380"/>
      <c r="BE113" s="588"/>
      <c r="BF113" s="380"/>
      <c r="BG113" s="588"/>
      <c r="BH113" s="380"/>
      <c r="BI113" s="511"/>
      <c r="BJ113" s="380"/>
      <c r="BK113" s="380"/>
      <c r="BL113" s="380"/>
      <c r="BM113" s="380"/>
      <c r="BN113" s="380"/>
      <c r="BO113" s="380"/>
      <c r="BP113" s="380"/>
      <c r="BQ113" s="380"/>
      <c r="BR113" s="380"/>
    </row>
    <row r="114" spans="1:70" ht="12.75" customHeight="1" x14ac:dyDescent="0.25">
      <c r="A114" s="380"/>
      <c r="B114" s="380"/>
      <c r="C114" s="380"/>
      <c r="D114" s="380"/>
      <c r="E114" s="511"/>
      <c r="F114" s="511"/>
      <c r="G114" s="582"/>
      <c r="H114" s="511"/>
      <c r="I114" s="511"/>
      <c r="J114" s="582"/>
      <c r="K114" s="511"/>
      <c r="L114" s="511"/>
      <c r="M114" s="582"/>
      <c r="N114" s="582"/>
      <c r="O114" s="582"/>
      <c r="P114" s="582"/>
      <c r="Q114" s="511"/>
      <c r="R114" s="511"/>
      <c r="S114" s="511"/>
      <c r="T114" s="639"/>
      <c r="U114" s="511"/>
      <c r="V114" s="511"/>
      <c r="W114" s="511"/>
      <c r="X114" s="511"/>
      <c r="Y114" s="380"/>
      <c r="Z114" s="380"/>
      <c r="AA114" s="380"/>
      <c r="AB114" s="380"/>
      <c r="AC114" s="380"/>
      <c r="AD114" s="671"/>
      <c r="AE114" s="380"/>
      <c r="AF114" s="380"/>
      <c r="AG114" s="380"/>
      <c r="AH114" s="671"/>
      <c r="AI114" s="380"/>
      <c r="AJ114" s="583"/>
      <c r="AK114" s="583"/>
      <c r="AL114" s="511"/>
      <c r="AM114" s="584"/>
      <c r="AN114" s="584"/>
      <c r="AO114" s="584"/>
      <c r="AP114" s="671"/>
      <c r="AQ114" s="584"/>
      <c r="AR114" s="583"/>
      <c r="AS114" s="583"/>
      <c r="AT114" s="585"/>
      <c r="AU114" s="585"/>
      <c r="AV114" s="585"/>
      <c r="AW114" s="585"/>
      <c r="AX114" s="673"/>
      <c r="AY114" s="380"/>
      <c r="AZ114" s="380"/>
      <c r="BA114" s="380"/>
      <c r="BB114" s="380"/>
      <c r="BC114" s="380"/>
      <c r="BD114" s="380"/>
      <c r="BE114" s="380"/>
      <c r="BF114" s="380"/>
      <c r="BG114" s="380"/>
      <c r="BH114" s="380"/>
      <c r="BI114" s="511"/>
      <c r="BJ114" s="380"/>
      <c r="BK114" s="380"/>
      <c r="BL114" s="380"/>
      <c r="BM114" s="380"/>
      <c r="BN114" s="380"/>
      <c r="BO114" s="380"/>
      <c r="BP114" s="380"/>
      <c r="BQ114" s="380"/>
      <c r="BR114" s="380"/>
    </row>
    <row r="115" spans="1:70" ht="12.75" customHeight="1" x14ac:dyDescent="0.25">
      <c r="A115" s="380"/>
      <c r="B115" s="380"/>
      <c r="C115" s="380"/>
      <c r="D115" s="380"/>
      <c r="E115" s="511"/>
      <c r="F115" s="511"/>
      <c r="G115" s="582"/>
      <c r="H115" s="511"/>
      <c r="I115" s="511"/>
      <c r="J115" s="582"/>
      <c r="K115" s="511"/>
      <c r="L115" s="511"/>
      <c r="M115" s="582"/>
      <c r="N115" s="582"/>
      <c r="O115" s="582"/>
      <c r="P115" s="582"/>
      <c r="Q115" s="511"/>
      <c r="R115" s="511"/>
      <c r="S115" s="511"/>
      <c r="T115" s="639"/>
      <c r="U115" s="511"/>
      <c r="V115" s="511"/>
      <c r="W115" s="511"/>
      <c r="X115" s="511"/>
      <c r="Y115" s="380"/>
      <c r="Z115" s="380"/>
      <c r="AA115" s="380"/>
      <c r="AB115" s="380"/>
      <c r="AC115" s="380"/>
      <c r="AD115" s="671"/>
      <c r="AE115" s="380"/>
      <c r="AF115" s="380"/>
      <c r="AG115" s="380"/>
      <c r="AH115" s="671"/>
      <c r="AI115" s="380"/>
      <c r="AJ115" s="583"/>
      <c r="AK115" s="583"/>
      <c r="AL115" s="511"/>
      <c r="AM115" s="584"/>
      <c r="AN115" s="584"/>
      <c r="AO115" s="584"/>
      <c r="AP115" s="671"/>
      <c r="AQ115" s="584"/>
      <c r="AR115" s="583"/>
      <c r="AS115" s="583"/>
      <c r="AT115" s="585"/>
      <c r="AU115" s="585"/>
      <c r="AV115" s="585"/>
      <c r="AW115" s="585"/>
      <c r="AX115" s="673"/>
      <c r="AY115" s="380"/>
      <c r="AZ115" s="380"/>
      <c r="BA115" s="380"/>
      <c r="BB115" s="380"/>
      <c r="BC115" s="380"/>
      <c r="BD115" s="380"/>
      <c r="BE115" s="380"/>
      <c r="BF115" s="380"/>
      <c r="BG115" s="380"/>
      <c r="BH115" s="380"/>
      <c r="BI115" s="511"/>
      <c r="BJ115" s="380"/>
      <c r="BK115" s="380"/>
      <c r="BL115" s="380"/>
      <c r="BM115" s="380"/>
      <c r="BN115" s="380"/>
      <c r="BO115" s="380"/>
      <c r="BP115" s="380"/>
      <c r="BQ115" s="380"/>
      <c r="BR115" s="380"/>
    </row>
    <row r="116" spans="1:70" ht="12.75" customHeight="1" x14ac:dyDescent="0.25">
      <c r="A116" s="380"/>
      <c r="B116" s="380"/>
      <c r="C116" s="380"/>
      <c r="D116" s="380"/>
      <c r="E116" s="511"/>
      <c r="F116" s="511"/>
      <c r="G116" s="582"/>
      <c r="H116" s="511"/>
      <c r="I116" s="511"/>
      <c r="J116" s="582"/>
      <c r="K116" s="511"/>
      <c r="L116" s="511"/>
      <c r="M116" s="582"/>
      <c r="N116" s="582"/>
      <c r="O116" s="582"/>
      <c r="P116" s="582"/>
      <c r="Q116" s="511"/>
      <c r="R116" s="511"/>
      <c r="S116" s="511"/>
      <c r="T116" s="639"/>
      <c r="U116" s="511"/>
      <c r="V116" s="511"/>
      <c r="W116" s="511"/>
      <c r="X116" s="511"/>
      <c r="Y116" s="380"/>
      <c r="Z116" s="380"/>
      <c r="AA116" s="380"/>
      <c r="AB116" s="380"/>
      <c r="AC116" s="380"/>
      <c r="AD116" s="671"/>
      <c r="AE116" s="380"/>
      <c r="AF116" s="380"/>
      <c r="AG116" s="380"/>
      <c r="AH116" s="671"/>
      <c r="AI116" s="380"/>
      <c r="AJ116" s="583"/>
      <c r="AK116" s="583"/>
      <c r="AL116" s="511"/>
      <c r="AM116" s="584"/>
      <c r="AN116" s="584"/>
      <c r="AO116" s="584"/>
      <c r="AP116" s="671"/>
      <c r="AQ116" s="584"/>
      <c r="AR116" s="583"/>
      <c r="AS116" s="583"/>
      <c r="AT116" s="585"/>
      <c r="AU116" s="585"/>
      <c r="AV116" s="585"/>
      <c r="AW116" s="585"/>
      <c r="AX116" s="673"/>
      <c r="AY116" s="380"/>
      <c r="AZ116" s="380"/>
      <c r="BA116" s="380"/>
      <c r="BB116" s="380"/>
      <c r="BC116" s="380"/>
      <c r="BD116" s="380"/>
      <c r="BE116" s="380"/>
      <c r="BF116" s="380"/>
      <c r="BG116" s="380"/>
      <c r="BH116" s="380"/>
      <c r="BI116" s="511"/>
      <c r="BJ116" s="380"/>
      <c r="BK116" s="380"/>
      <c r="BL116" s="380"/>
      <c r="BM116" s="380"/>
      <c r="BN116" s="380"/>
      <c r="BO116" s="380"/>
      <c r="BP116" s="380"/>
      <c r="BQ116" s="380"/>
      <c r="BR116" s="380"/>
    </row>
    <row r="117" spans="1:70" ht="12.75" customHeight="1" x14ac:dyDescent="0.25">
      <c r="A117" s="380"/>
      <c r="B117" s="380"/>
      <c r="C117" s="380"/>
      <c r="D117" s="380"/>
      <c r="E117" s="511"/>
      <c r="F117" s="511"/>
      <c r="G117" s="582"/>
      <c r="H117" s="511"/>
      <c r="I117" s="511"/>
      <c r="J117" s="582"/>
      <c r="K117" s="511"/>
      <c r="L117" s="511"/>
      <c r="M117" s="582"/>
      <c r="N117" s="582"/>
      <c r="O117" s="582"/>
      <c r="P117" s="582"/>
      <c r="Q117" s="511"/>
      <c r="R117" s="511"/>
      <c r="S117" s="511"/>
      <c r="T117" s="639"/>
      <c r="U117" s="511"/>
      <c r="V117" s="511"/>
      <c r="W117" s="511"/>
      <c r="X117" s="511"/>
      <c r="Y117" s="380"/>
      <c r="Z117" s="380"/>
      <c r="AA117" s="380"/>
      <c r="AB117" s="380"/>
      <c r="AC117" s="380"/>
      <c r="AD117" s="671"/>
      <c r="AE117" s="380"/>
      <c r="AF117" s="380"/>
      <c r="AG117" s="380"/>
      <c r="AH117" s="671"/>
      <c r="AI117" s="380"/>
      <c r="AJ117" s="583"/>
      <c r="AK117" s="583"/>
      <c r="AL117" s="511"/>
      <c r="AM117" s="584"/>
      <c r="AN117" s="584"/>
      <c r="AO117" s="584"/>
      <c r="AP117" s="671"/>
      <c r="AQ117" s="584"/>
      <c r="AR117" s="583"/>
      <c r="AS117" s="583"/>
      <c r="AT117" s="585"/>
      <c r="AU117" s="585"/>
      <c r="AV117" s="585"/>
      <c r="AW117" s="585"/>
      <c r="AX117" s="673"/>
      <c r="AY117" s="380"/>
      <c r="AZ117" s="380"/>
      <c r="BA117" s="380"/>
      <c r="BB117" s="380"/>
      <c r="BC117" s="380"/>
      <c r="BD117" s="380"/>
      <c r="BE117" s="380"/>
      <c r="BF117" s="380"/>
      <c r="BG117" s="380"/>
      <c r="BH117" s="380"/>
      <c r="BI117" s="511"/>
      <c r="BJ117" s="380"/>
      <c r="BK117" s="380"/>
      <c r="BL117" s="380"/>
      <c r="BM117" s="380"/>
      <c r="BN117" s="380"/>
      <c r="BO117" s="380"/>
      <c r="BP117" s="380"/>
      <c r="BQ117" s="380"/>
      <c r="BR117" s="380"/>
    </row>
    <row r="118" spans="1:70" ht="12.75" customHeight="1" x14ac:dyDescent="0.25">
      <c r="A118" s="380"/>
      <c r="B118" s="380"/>
      <c r="C118" s="380"/>
      <c r="D118" s="380"/>
      <c r="E118" s="511"/>
      <c r="F118" s="511"/>
      <c r="G118" s="582"/>
      <c r="H118" s="511"/>
      <c r="I118" s="511"/>
      <c r="J118" s="582"/>
      <c r="K118" s="511"/>
      <c r="L118" s="511"/>
      <c r="M118" s="582"/>
      <c r="N118" s="582"/>
      <c r="O118" s="582"/>
      <c r="P118" s="582"/>
      <c r="Q118" s="511"/>
      <c r="R118" s="511"/>
      <c r="S118" s="511"/>
      <c r="T118" s="639"/>
      <c r="U118" s="511"/>
      <c r="V118" s="511"/>
      <c r="W118" s="511"/>
      <c r="X118" s="511"/>
      <c r="Y118" s="380"/>
      <c r="Z118" s="380"/>
      <c r="AA118" s="380"/>
      <c r="AB118" s="380"/>
      <c r="AC118" s="380"/>
      <c r="AD118" s="671"/>
      <c r="AE118" s="380"/>
      <c r="AF118" s="380"/>
      <c r="AG118" s="380"/>
      <c r="AH118" s="671"/>
      <c r="AI118" s="380"/>
      <c r="AJ118" s="583"/>
      <c r="AK118" s="583"/>
      <c r="AL118" s="511"/>
      <c r="AM118" s="584"/>
      <c r="AN118" s="584"/>
      <c r="AO118" s="584"/>
      <c r="AP118" s="671"/>
      <c r="AQ118" s="584"/>
      <c r="AR118" s="583"/>
      <c r="AS118" s="583"/>
      <c r="AT118" s="585"/>
      <c r="AU118" s="585"/>
      <c r="AV118" s="585"/>
      <c r="AW118" s="585"/>
      <c r="AX118" s="673"/>
      <c r="AY118" s="380"/>
      <c r="AZ118" s="380"/>
      <c r="BA118" s="380"/>
      <c r="BB118" s="380"/>
      <c r="BC118" s="380"/>
      <c r="BD118" s="380"/>
      <c r="BE118" s="380"/>
      <c r="BF118" s="380"/>
      <c r="BG118" s="380"/>
      <c r="BH118" s="380"/>
      <c r="BI118" s="511"/>
      <c r="BJ118" s="380"/>
      <c r="BK118" s="380"/>
      <c r="BL118" s="380"/>
      <c r="BM118" s="380"/>
      <c r="BN118" s="380"/>
      <c r="BO118" s="380"/>
      <c r="BP118" s="380"/>
      <c r="BQ118" s="380"/>
      <c r="BR118" s="380"/>
    </row>
    <row r="119" spans="1:70" ht="12.75" customHeight="1" x14ac:dyDescent="0.25">
      <c r="A119" s="380"/>
      <c r="B119" s="380"/>
      <c r="C119" s="380"/>
      <c r="D119" s="380"/>
      <c r="E119" s="511"/>
      <c r="F119" s="511"/>
      <c r="G119" s="582"/>
      <c r="H119" s="511"/>
      <c r="I119" s="511"/>
      <c r="J119" s="582"/>
      <c r="K119" s="511"/>
      <c r="L119" s="511"/>
      <c r="M119" s="582"/>
      <c r="N119" s="582"/>
      <c r="O119" s="582"/>
      <c r="P119" s="582"/>
      <c r="Q119" s="511"/>
      <c r="R119" s="511"/>
      <c r="S119" s="511"/>
      <c r="T119" s="639"/>
      <c r="U119" s="511"/>
      <c r="V119" s="511"/>
      <c r="W119" s="511"/>
      <c r="X119" s="511"/>
      <c r="Y119" s="380"/>
      <c r="Z119" s="380"/>
      <c r="AA119" s="380"/>
      <c r="AB119" s="380"/>
      <c r="AC119" s="380"/>
      <c r="AD119" s="671"/>
      <c r="AE119" s="380"/>
      <c r="AF119" s="380"/>
      <c r="AG119" s="380"/>
      <c r="AH119" s="671"/>
      <c r="AI119" s="380"/>
      <c r="AJ119" s="583"/>
      <c r="AK119" s="583"/>
      <c r="AL119" s="511"/>
      <c r="AM119" s="584"/>
      <c r="AN119" s="584"/>
      <c r="AO119" s="584"/>
      <c r="AP119" s="671"/>
      <c r="AQ119" s="584"/>
      <c r="AR119" s="583"/>
      <c r="AS119" s="583"/>
      <c r="AT119" s="585"/>
      <c r="AU119" s="585"/>
      <c r="AV119" s="585"/>
      <c r="AW119" s="585"/>
      <c r="AX119" s="673"/>
      <c r="AY119" s="380"/>
      <c r="AZ119" s="380"/>
      <c r="BA119" s="380"/>
      <c r="BB119" s="380"/>
      <c r="BC119" s="380"/>
      <c r="BD119" s="380"/>
      <c r="BE119" s="380"/>
      <c r="BF119" s="380"/>
      <c r="BG119" s="380"/>
      <c r="BH119" s="380"/>
      <c r="BI119" s="511"/>
      <c r="BJ119" s="380"/>
      <c r="BK119" s="380"/>
      <c r="BL119" s="380"/>
      <c r="BM119" s="380"/>
      <c r="BN119" s="380"/>
      <c r="BO119" s="380"/>
      <c r="BP119" s="380"/>
      <c r="BQ119" s="380"/>
      <c r="BR119" s="380"/>
    </row>
    <row r="120" spans="1:70" ht="12.75" customHeight="1" x14ac:dyDescent="0.25">
      <c r="A120" s="380"/>
      <c r="B120" s="380"/>
      <c r="C120" s="380"/>
      <c r="D120" s="380"/>
      <c r="E120" s="511"/>
      <c r="F120" s="511"/>
      <c r="G120" s="582"/>
      <c r="H120" s="511"/>
      <c r="I120" s="511"/>
      <c r="J120" s="582"/>
      <c r="K120" s="511"/>
      <c r="L120" s="511"/>
      <c r="M120" s="582"/>
      <c r="N120" s="582"/>
      <c r="O120" s="582"/>
      <c r="P120" s="582"/>
      <c r="Q120" s="511"/>
      <c r="R120" s="511"/>
      <c r="S120" s="511"/>
      <c r="T120" s="639"/>
      <c r="U120" s="511"/>
      <c r="V120" s="511"/>
      <c r="W120" s="511"/>
      <c r="X120" s="511"/>
      <c r="Y120" s="380"/>
      <c r="Z120" s="380"/>
      <c r="AA120" s="380"/>
      <c r="AB120" s="380"/>
      <c r="AC120" s="380"/>
      <c r="AD120" s="671"/>
      <c r="AE120" s="380"/>
      <c r="AF120" s="380"/>
      <c r="AG120" s="380"/>
      <c r="AH120" s="671"/>
      <c r="AI120" s="380"/>
      <c r="AJ120" s="583"/>
      <c r="AK120" s="583"/>
      <c r="AL120" s="511"/>
      <c r="AM120" s="584"/>
      <c r="AN120" s="584"/>
      <c r="AO120" s="584"/>
      <c r="AP120" s="671"/>
      <c r="AQ120" s="584"/>
      <c r="AR120" s="583"/>
      <c r="AS120" s="583"/>
      <c r="AT120" s="585"/>
      <c r="AU120" s="585"/>
      <c r="AV120" s="585"/>
      <c r="AW120" s="585"/>
      <c r="AX120" s="673"/>
      <c r="AY120" s="380"/>
      <c r="AZ120" s="380"/>
      <c r="BA120" s="380"/>
      <c r="BB120" s="380"/>
      <c r="BC120" s="380"/>
      <c r="BD120" s="380"/>
      <c r="BE120" s="380"/>
      <c r="BF120" s="380"/>
      <c r="BG120" s="380"/>
      <c r="BH120" s="380"/>
      <c r="BI120" s="511"/>
      <c r="BJ120" s="380"/>
      <c r="BK120" s="380"/>
      <c r="BL120" s="380"/>
      <c r="BM120" s="380"/>
      <c r="BN120" s="380"/>
      <c r="BO120" s="380"/>
      <c r="BP120" s="380"/>
      <c r="BQ120" s="380"/>
      <c r="BR120" s="380"/>
    </row>
    <row r="121" spans="1:70" ht="12.75" customHeight="1" x14ac:dyDescent="0.25">
      <c r="A121" s="380"/>
      <c r="B121" s="380"/>
      <c r="C121" s="380"/>
      <c r="D121" s="380"/>
      <c r="E121" s="511"/>
      <c r="F121" s="511"/>
      <c r="G121" s="582"/>
      <c r="H121" s="511"/>
      <c r="I121" s="511"/>
      <c r="J121" s="582"/>
      <c r="K121" s="511"/>
      <c r="L121" s="511"/>
      <c r="M121" s="582"/>
      <c r="N121" s="582"/>
      <c r="O121" s="582"/>
      <c r="P121" s="582"/>
      <c r="Q121" s="511"/>
      <c r="R121" s="511"/>
      <c r="S121" s="511"/>
      <c r="T121" s="639"/>
      <c r="U121" s="511"/>
      <c r="V121" s="511"/>
      <c r="W121" s="511"/>
      <c r="X121" s="511"/>
      <c r="Y121" s="380"/>
      <c r="Z121" s="380"/>
      <c r="AA121" s="380"/>
      <c r="AB121" s="380"/>
      <c r="AC121" s="380"/>
      <c r="AD121" s="671"/>
      <c r="AE121" s="380"/>
      <c r="AF121" s="380"/>
      <c r="AG121" s="380"/>
      <c r="AH121" s="671"/>
      <c r="AI121" s="380"/>
      <c r="AJ121" s="583"/>
      <c r="AK121" s="583"/>
      <c r="AL121" s="511"/>
      <c r="AM121" s="584"/>
      <c r="AN121" s="584"/>
      <c r="AO121" s="584"/>
      <c r="AP121" s="671"/>
      <c r="AQ121" s="584"/>
      <c r="AR121" s="583"/>
      <c r="AS121" s="583"/>
      <c r="AT121" s="585"/>
      <c r="AU121" s="585"/>
      <c r="AV121" s="585"/>
      <c r="AW121" s="585"/>
      <c r="AX121" s="673"/>
      <c r="AY121" s="380"/>
      <c r="AZ121" s="380"/>
      <c r="BA121" s="380"/>
      <c r="BB121" s="380"/>
      <c r="BC121" s="380"/>
      <c r="BD121" s="380"/>
      <c r="BE121" s="380"/>
      <c r="BF121" s="380"/>
      <c r="BG121" s="380"/>
      <c r="BH121" s="380"/>
      <c r="BI121" s="511"/>
      <c r="BJ121" s="380"/>
      <c r="BK121" s="380"/>
      <c r="BL121" s="380"/>
      <c r="BM121" s="380"/>
      <c r="BN121" s="380"/>
      <c r="BO121" s="380"/>
      <c r="BP121" s="380"/>
      <c r="BQ121" s="380"/>
      <c r="BR121" s="380"/>
    </row>
    <row r="122" spans="1:70" ht="12.75" customHeight="1" x14ac:dyDescent="0.25">
      <c r="A122" s="380"/>
      <c r="B122" s="380"/>
      <c r="C122" s="380"/>
      <c r="D122" s="380"/>
      <c r="E122" s="511"/>
      <c r="F122" s="511"/>
      <c r="G122" s="582"/>
      <c r="H122" s="511"/>
      <c r="I122" s="511"/>
      <c r="J122" s="582"/>
      <c r="K122" s="511"/>
      <c r="L122" s="511"/>
      <c r="M122" s="582"/>
      <c r="N122" s="582"/>
      <c r="O122" s="582"/>
      <c r="P122" s="582"/>
      <c r="Q122" s="511"/>
      <c r="R122" s="511"/>
      <c r="S122" s="511"/>
      <c r="T122" s="639"/>
      <c r="U122" s="511"/>
      <c r="V122" s="511"/>
      <c r="W122" s="511"/>
      <c r="X122" s="511"/>
      <c r="Y122" s="380"/>
      <c r="Z122" s="380"/>
      <c r="AA122" s="380"/>
      <c r="AB122" s="380"/>
      <c r="AC122" s="380"/>
      <c r="AD122" s="671"/>
      <c r="AE122" s="380"/>
      <c r="AF122" s="380"/>
      <c r="AG122" s="380"/>
      <c r="AH122" s="671"/>
      <c r="AI122" s="380"/>
      <c r="AJ122" s="583"/>
      <c r="AK122" s="583"/>
      <c r="AL122" s="511"/>
      <c r="AM122" s="584"/>
      <c r="AN122" s="584"/>
      <c r="AO122" s="584"/>
      <c r="AP122" s="671"/>
      <c r="AQ122" s="584"/>
      <c r="AR122" s="583"/>
      <c r="AS122" s="583"/>
      <c r="AT122" s="585"/>
      <c r="AU122" s="585"/>
      <c r="AV122" s="585"/>
      <c r="AW122" s="585"/>
      <c r="AX122" s="673"/>
      <c r="AY122" s="380"/>
      <c r="AZ122" s="380"/>
      <c r="BA122" s="380"/>
      <c r="BB122" s="380"/>
      <c r="BC122" s="380"/>
      <c r="BD122" s="380"/>
      <c r="BE122" s="380"/>
      <c r="BF122" s="380"/>
      <c r="BG122" s="380"/>
      <c r="BH122" s="380"/>
      <c r="BI122" s="511"/>
      <c r="BJ122" s="380"/>
      <c r="BK122" s="380"/>
      <c r="BL122" s="380"/>
      <c r="BM122" s="380"/>
      <c r="BN122" s="380"/>
      <c r="BO122" s="380"/>
      <c r="BP122" s="380"/>
      <c r="BQ122" s="380"/>
      <c r="BR122" s="380"/>
    </row>
    <row r="123" spans="1:70" ht="12.75" customHeight="1" x14ac:dyDescent="0.25">
      <c r="A123" s="380"/>
      <c r="B123" s="380"/>
      <c r="C123" s="380"/>
      <c r="D123" s="380"/>
      <c r="E123" s="511"/>
      <c r="F123" s="511"/>
      <c r="G123" s="582"/>
      <c r="H123" s="511"/>
      <c r="I123" s="511"/>
      <c r="J123" s="582"/>
      <c r="K123" s="511"/>
      <c r="L123" s="511"/>
      <c r="M123" s="582"/>
      <c r="N123" s="582"/>
      <c r="O123" s="582"/>
      <c r="P123" s="582"/>
      <c r="Q123" s="511"/>
      <c r="R123" s="511"/>
      <c r="S123" s="511"/>
      <c r="T123" s="639"/>
      <c r="U123" s="511"/>
      <c r="V123" s="511"/>
      <c r="W123" s="511"/>
      <c r="X123" s="511"/>
      <c r="Y123" s="380"/>
      <c r="Z123" s="380"/>
      <c r="AA123" s="380"/>
      <c r="AB123" s="380"/>
      <c r="AC123" s="380"/>
      <c r="AD123" s="671"/>
      <c r="AE123" s="380"/>
      <c r="AF123" s="380"/>
      <c r="AG123" s="380"/>
      <c r="AH123" s="671"/>
      <c r="AI123" s="380"/>
      <c r="AJ123" s="583"/>
      <c r="AK123" s="583"/>
      <c r="AL123" s="511"/>
      <c r="AM123" s="584"/>
      <c r="AN123" s="584"/>
      <c r="AO123" s="584"/>
      <c r="AP123" s="671"/>
      <c r="AQ123" s="584"/>
      <c r="AR123" s="583"/>
      <c r="AS123" s="583"/>
      <c r="AT123" s="585"/>
      <c r="AU123" s="585"/>
      <c r="AV123" s="585"/>
      <c r="AW123" s="585"/>
      <c r="AX123" s="673"/>
      <c r="AY123" s="380"/>
      <c r="AZ123" s="380"/>
      <c r="BA123" s="380"/>
      <c r="BB123" s="380"/>
      <c r="BC123" s="380"/>
      <c r="BD123" s="380"/>
      <c r="BE123" s="380"/>
      <c r="BF123" s="380"/>
      <c r="BG123" s="380"/>
      <c r="BH123" s="380"/>
      <c r="BI123" s="511"/>
      <c r="BJ123" s="380"/>
      <c r="BK123" s="380"/>
      <c r="BL123" s="380"/>
      <c r="BM123" s="380"/>
      <c r="BN123" s="380"/>
      <c r="BO123" s="380"/>
      <c r="BP123" s="380"/>
      <c r="BQ123" s="380"/>
      <c r="BR123" s="380"/>
    </row>
    <row r="124" spans="1:70" ht="12.75" customHeight="1" x14ac:dyDescent="0.25">
      <c r="A124" s="380"/>
      <c r="B124" s="380"/>
      <c r="C124" s="380"/>
      <c r="D124" s="380"/>
      <c r="E124" s="511"/>
      <c r="F124" s="511"/>
      <c r="G124" s="582"/>
      <c r="H124" s="511"/>
      <c r="I124" s="511"/>
      <c r="J124" s="582"/>
      <c r="K124" s="511"/>
      <c r="L124" s="511"/>
      <c r="M124" s="582"/>
      <c r="N124" s="582"/>
      <c r="O124" s="582"/>
      <c r="P124" s="582"/>
      <c r="Q124" s="511"/>
      <c r="R124" s="511"/>
      <c r="S124" s="511"/>
      <c r="T124" s="639"/>
      <c r="U124" s="511"/>
      <c r="V124" s="511"/>
      <c r="W124" s="511"/>
      <c r="X124" s="511"/>
      <c r="Y124" s="380"/>
      <c r="Z124" s="380"/>
      <c r="AA124" s="380"/>
      <c r="AB124" s="380"/>
      <c r="AC124" s="380"/>
      <c r="AD124" s="671"/>
      <c r="AE124" s="380"/>
      <c r="AF124" s="380"/>
      <c r="AG124" s="380"/>
      <c r="AH124" s="671"/>
      <c r="AI124" s="380"/>
      <c r="AJ124" s="583"/>
      <c r="AK124" s="583"/>
      <c r="AL124" s="511"/>
      <c r="AM124" s="584"/>
      <c r="AN124" s="584"/>
      <c r="AO124" s="584"/>
      <c r="AP124" s="671"/>
      <c r="AQ124" s="584"/>
      <c r="AR124" s="583"/>
      <c r="AS124" s="583"/>
      <c r="AT124" s="585"/>
      <c r="AU124" s="585"/>
      <c r="AV124" s="585"/>
      <c r="AW124" s="585"/>
      <c r="AX124" s="673"/>
      <c r="AY124" s="380"/>
      <c r="AZ124" s="380"/>
      <c r="BA124" s="380"/>
      <c r="BB124" s="380"/>
      <c r="BC124" s="380"/>
      <c r="BD124" s="380"/>
      <c r="BE124" s="380"/>
      <c r="BF124" s="380"/>
      <c r="BG124" s="380"/>
      <c r="BH124" s="380"/>
      <c r="BI124" s="511"/>
      <c r="BJ124" s="380"/>
      <c r="BK124" s="380"/>
      <c r="BL124" s="380"/>
      <c r="BM124" s="380"/>
      <c r="BN124" s="380"/>
      <c r="BO124" s="380"/>
      <c r="BP124" s="380"/>
      <c r="BQ124" s="380"/>
      <c r="BR124" s="380"/>
    </row>
    <row r="125" spans="1:70" ht="12.75" customHeight="1" x14ac:dyDescent="0.25">
      <c r="A125" s="380"/>
      <c r="B125" s="380"/>
      <c r="C125" s="380"/>
      <c r="D125" s="380"/>
      <c r="E125" s="511"/>
      <c r="F125" s="511"/>
      <c r="G125" s="582"/>
      <c r="H125" s="511"/>
      <c r="I125" s="511"/>
      <c r="J125" s="582"/>
      <c r="K125" s="511"/>
      <c r="L125" s="511"/>
      <c r="M125" s="582"/>
      <c r="N125" s="582"/>
      <c r="O125" s="582"/>
      <c r="P125" s="582"/>
      <c r="Q125" s="511"/>
      <c r="R125" s="511"/>
      <c r="S125" s="511"/>
      <c r="T125" s="639"/>
      <c r="U125" s="511"/>
      <c r="V125" s="511"/>
      <c r="W125" s="511"/>
      <c r="X125" s="511"/>
      <c r="Y125" s="380"/>
      <c r="Z125" s="380"/>
      <c r="AA125" s="380"/>
      <c r="AB125" s="380"/>
      <c r="AC125" s="380"/>
      <c r="AD125" s="671"/>
      <c r="AE125" s="380"/>
      <c r="AF125" s="380"/>
      <c r="AG125" s="380"/>
      <c r="AH125" s="671"/>
      <c r="AI125" s="380"/>
      <c r="AJ125" s="583"/>
      <c r="AK125" s="583"/>
      <c r="AL125" s="511"/>
      <c r="AM125" s="584"/>
      <c r="AN125" s="584"/>
      <c r="AO125" s="584"/>
      <c r="AP125" s="671"/>
      <c r="AQ125" s="584"/>
      <c r="AR125" s="583"/>
      <c r="AS125" s="583"/>
      <c r="AT125" s="585"/>
      <c r="AU125" s="585"/>
      <c r="AV125" s="585"/>
      <c r="AW125" s="585"/>
      <c r="AX125" s="673"/>
      <c r="AY125" s="380"/>
      <c r="AZ125" s="380"/>
      <c r="BA125" s="380"/>
      <c r="BB125" s="380"/>
      <c r="BC125" s="380"/>
      <c r="BD125" s="380"/>
      <c r="BE125" s="380"/>
      <c r="BF125" s="380"/>
      <c r="BG125" s="380"/>
      <c r="BH125" s="380"/>
      <c r="BI125" s="511"/>
      <c r="BJ125" s="380"/>
      <c r="BK125" s="380"/>
      <c r="BL125" s="380"/>
      <c r="BM125" s="380"/>
      <c r="BN125" s="380"/>
      <c r="BO125" s="380"/>
      <c r="BP125" s="380"/>
      <c r="BQ125" s="380"/>
      <c r="BR125" s="380"/>
    </row>
    <row r="126" spans="1:70" ht="12.75" customHeight="1" x14ac:dyDescent="0.25">
      <c r="A126" s="380"/>
      <c r="B126" s="380"/>
      <c r="C126" s="380"/>
      <c r="D126" s="380"/>
      <c r="E126" s="511"/>
      <c r="F126" s="511"/>
      <c r="G126" s="582"/>
      <c r="H126" s="511"/>
      <c r="I126" s="511"/>
      <c r="J126" s="582"/>
      <c r="K126" s="511"/>
      <c r="L126" s="511"/>
      <c r="M126" s="582"/>
      <c r="N126" s="582"/>
      <c r="O126" s="582"/>
      <c r="P126" s="582"/>
      <c r="Q126" s="511"/>
      <c r="R126" s="511"/>
      <c r="S126" s="511"/>
      <c r="T126" s="639"/>
      <c r="U126" s="511"/>
      <c r="V126" s="511"/>
      <c r="W126" s="511"/>
      <c r="X126" s="511"/>
      <c r="Y126" s="380"/>
      <c r="Z126" s="380"/>
      <c r="AA126" s="380"/>
      <c r="AB126" s="380"/>
      <c r="AC126" s="380"/>
      <c r="AD126" s="671"/>
      <c r="AE126" s="380"/>
      <c r="AF126" s="380"/>
      <c r="AG126" s="380"/>
      <c r="AH126" s="671"/>
      <c r="AI126" s="380"/>
      <c r="AJ126" s="583"/>
      <c r="AK126" s="583"/>
      <c r="AL126" s="511"/>
      <c r="AM126" s="584"/>
      <c r="AN126" s="584"/>
      <c r="AO126" s="584"/>
      <c r="AP126" s="671"/>
      <c r="AQ126" s="584"/>
      <c r="AR126" s="583"/>
      <c r="AS126" s="583"/>
      <c r="AT126" s="585"/>
      <c r="AU126" s="585"/>
      <c r="AV126" s="585"/>
      <c r="AW126" s="585"/>
      <c r="AX126" s="673"/>
      <c r="AY126" s="380"/>
      <c r="AZ126" s="380"/>
      <c r="BA126" s="380"/>
      <c r="BB126" s="380"/>
      <c r="BC126" s="380"/>
      <c r="BD126" s="380"/>
      <c r="BE126" s="380"/>
      <c r="BF126" s="380"/>
      <c r="BG126" s="380"/>
      <c r="BH126" s="380"/>
      <c r="BI126" s="511"/>
      <c r="BJ126" s="380"/>
      <c r="BK126" s="380"/>
      <c r="BL126" s="380"/>
      <c r="BM126" s="380"/>
      <c r="BN126" s="380"/>
      <c r="BO126" s="380"/>
      <c r="BP126" s="380"/>
      <c r="BQ126" s="380"/>
      <c r="BR126" s="380"/>
    </row>
    <row r="127" spans="1:70" ht="12.75" customHeight="1" x14ac:dyDescent="0.25">
      <c r="A127" s="380"/>
      <c r="B127" s="380"/>
      <c r="C127" s="380"/>
      <c r="D127" s="380"/>
      <c r="E127" s="511"/>
      <c r="F127" s="511"/>
      <c r="G127" s="582"/>
      <c r="H127" s="511"/>
      <c r="I127" s="511"/>
      <c r="J127" s="582"/>
      <c r="K127" s="511"/>
      <c r="L127" s="511"/>
      <c r="M127" s="582"/>
      <c r="N127" s="582"/>
      <c r="O127" s="582"/>
      <c r="P127" s="582"/>
      <c r="Q127" s="511"/>
      <c r="R127" s="511"/>
      <c r="S127" s="511"/>
      <c r="T127" s="639"/>
      <c r="U127" s="511"/>
      <c r="V127" s="511"/>
      <c r="W127" s="511"/>
      <c r="X127" s="511"/>
      <c r="Y127" s="380"/>
      <c r="Z127" s="380"/>
      <c r="AA127" s="380"/>
      <c r="AB127" s="380"/>
      <c r="AC127" s="380"/>
      <c r="AD127" s="671"/>
      <c r="AE127" s="380"/>
      <c r="AF127" s="380"/>
      <c r="AG127" s="380"/>
      <c r="AH127" s="671"/>
      <c r="AI127" s="380"/>
      <c r="AJ127" s="583"/>
      <c r="AK127" s="583"/>
      <c r="AL127" s="511"/>
      <c r="AM127" s="584"/>
      <c r="AN127" s="584"/>
      <c r="AO127" s="584"/>
      <c r="AP127" s="671"/>
      <c r="AQ127" s="584"/>
      <c r="AR127" s="583"/>
      <c r="AS127" s="583"/>
      <c r="AT127" s="585"/>
      <c r="AU127" s="585"/>
      <c r="AV127" s="585"/>
      <c r="AW127" s="585"/>
      <c r="AX127" s="673"/>
      <c r="AY127" s="380"/>
      <c r="AZ127" s="380"/>
      <c r="BA127" s="380"/>
      <c r="BB127" s="380"/>
      <c r="BC127" s="380"/>
      <c r="BD127" s="380"/>
      <c r="BE127" s="380"/>
      <c r="BF127" s="380"/>
      <c r="BG127" s="380"/>
      <c r="BH127" s="380"/>
      <c r="BI127" s="511"/>
      <c r="BJ127" s="380"/>
      <c r="BK127" s="380"/>
      <c r="BL127" s="380"/>
      <c r="BM127" s="380"/>
      <c r="BN127" s="380"/>
      <c r="BO127" s="380"/>
      <c r="BP127" s="380"/>
      <c r="BQ127" s="380"/>
      <c r="BR127" s="380"/>
    </row>
    <row r="128" spans="1:70" ht="12.75" customHeight="1" x14ac:dyDescent="0.25">
      <c r="A128" s="380"/>
      <c r="B128" s="380"/>
      <c r="C128" s="380"/>
      <c r="D128" s="380"/>
      <c r="E128" s="511"/>
      <c r="F128" s="511"/>
      <c r="G128" s="582"/>
      <c r="H128" s="511"/>
      <c r="I128" s="511"/>
      <c r="J128" s="582"/>
      <c r="K128" s="511"/>
      <c r="L128" s="511"/>
      <c r="M128" s="582"/>
      <c r="N128" s="582"/>
      <c r="O128" s="582"/>
      <c r="P128" s="582"/>
      <c r="Q128" s="511"/>
      <c r="R128" s="511"/>
      <c r="S128" s="511"/>
      <c r="T128" s="639"/>
      <c r="U128" s="511"/>
      <c r="V128" s="511"/>
      <c r="W128" s="511"/>
      <c r="X128" s="511"/>
      <c r="Y128" s="380"/>
      <c r="Z128" s="380"/>
      <c r="AA128" s="380"/>
      <c r="AB128" s="380"/>
      <c r="AC128" s="380"/>
      <c r="AD128" s="671"/>
      <c r="AE128" s="380"/>
      <c r="AF128" s="380"/>
      <c r="AG128" s="380"/>
      <c r="AH128" s="671"/>
      <c r="AI128" s="380"/>
      <c r="AJ128" s="583"/>
      <c r="AK128" s="583"/>
      <c r="AL128" s="511"/>
      <c r="AM128" s="584"/>
      <c r="AN128" s="584"/>
      <c r="AO128" s="584"/>
      <c r="AP128" s="671"/>
      <c r="AQ128" s="584"/>
      <c r="AR128" s="583"/>
      <c r="AS128" s="583"/>
      <c r="AT128" s="585"/>
      <c r="AU128" s="585"/>
      <c r="AV128" s="585"/>
      <c r="AW128" s="585"/>
      <c r="AX128" s="673"/>
      <c r="AY128" s="380"/>
      <c r="AZ128" s="380"/>
      <c r="BA128" s="380"/>
      <c r="BB128" s="380"/>
      <c r="BC128" s="380"/>
      <c r="BD128" s="380"/>
      <c r="BE128" s="380"/>
      <c r="BF128" s="380"/>
      <c r="BG128" s="380"/>
      <c r="BH128" s="380"/>
      <c r="BI128" s="511"/>
      <c r="BJ128" s="380"/>
      <c r="BK128" s="380"/>
      <c r="BL128" s="380"/>
      <c r="BM128" s="380"/>
      <c r="BN128" s="380"/>
      <c r="BO128" s="380"/>
      <c r="BP128" s="380"/>
      <c r="BQ128" s="380"/>
      <c r="BR128" s="380"/>
    </row>
    <row r="129" spans="1:70" ht="12.75" customHeight="1" x14ac:dyDescent="0.25">
      <c r="A129" s="380"/>
      <c r="B129" s="380"/>
      <c r="C129" s="380"/>
      <c r="D129" s="380"/>
      <c r="E129" s="511"/>
      <c r="F129" s="511"/>
      <c r="G129" s="582"/>
      <c r="H129" s="511"/>
      <c r="I129" s="511"/>
      <c r="J129" s="582"/>
      <c r="K129" s="511"/>
      <c r="L129" s="511"/>
      <c r="M129" s="582"/>
      <c r="N129" s="582"/>
      <c r="O129" s="582"/>
      <c r="P129" s="582"/>
      <c r="Q129" s="511"/>
      <c r="R129" s="511"/>
      <c r="S129" s="511"/>
      <c r="T129" s="639"/>
      <c r="U129" s="511"/>
      <c r="V129" s="511"/>
      <c r="W129" s="511"/>
      <c r="X129" s="511"/>
      <c r="Y129" s="380"/>
      <c r="Z129" s="380"/>
      <c r="AA129" s="380"/>
      <c r="AB129" s="380"/>
      <c r="AC129" s="380"/>
      <c r="AD129" s="671"/>
      <c r="AE129" s="380"/>
      <c r="AF129" s="380"/>
      <c r="AG129" s="380"/>
      <c r="AH129" s="671"/>
      <c r="AI129" s="380"/>
      <c r="AJ129" s="583"/>
      <c r="AK129" s="583"/>
      <c r="AL129" s="511"/>
      <c r="AM129" s="584"/>
      <c r="AN129" s="584"/>
      <c r="AO129" s="584"/>
      <c r="AP129" s="671"/>
      <c r="AQ129" s="584"/>
      <c r="AR129" s="583"/>
      <c r="AS129" s="583"/>
      <c r="AT129" s="585"/>
      <c r="AU129" s="585"/>
      <c r="AV129" s="585"/>
      <c r="AW129" s="585"/>
      <c r="AX129" s="673"/>
      <c r="AY129" s="380"/>
      <c r="AZ129" s="380"/>
      <c r="BA129" s="380"/>
      <c r="BB129" s="380"/>
      <c r="BC129" s="380"/>
      <c r="BD129" s="380"/>
      <c r="BE129" s="380"/>
      <c r="BF129" s="380"/>
      <c r="BG129" s="380"/>
      <c r="BH129" s="380"/>
      <c r="BI129" s="511"/>
      <c r="BJ129" s="380"/>
      <c r="BK129" s="380"/>
      <c r="BL129" s="380"/>
      <c r="BM129" s="380"/>
      <c r="BN129" s="380"/>
      <c r="BO129" s="380"/>
      <c r="BP129" s="380"/>
      <c r="BQ129" s="380"/>
      <c r="BR129" s="380"/>
    </row>
    <row r="130" spans="1:70" ht="12.75" customHeight="1" x14ac:dyDescent="0.25">
      <c r="A130" s="380"/>
      <c r="B130" s="380"/>
      <c r="C130" s="380"/>
      <c r="D130" s="380"/>
      <c r="E130" s="511"/>
      <c r="F130" s="511"/>
      <c r="G130" s="582"/>
      <c r="H130" s="511"/>
      <c r="I130" s="511"/>
      <c r="J130" s="582"/>
      <c r="K130" s="511"/>
      <c r="L130" s="511"/>
      <c r="M130" s="582"/>
      <c r="N130" s="582"/>
      <c r="O130" s="582"/>
      <c r="P130" s="582"/>
      <c r="Q130" s="511"/>
      <c r="R130" s="511"/>
      <c r="S130" s="511"/>
      <c r="T130" s="639"/>
      <c r="U130" s="511"/>
      <c r="V130" s="511"/>
      <c r="W130" s="511"/>
      <c r="X130" s="511"/>
      <c r="Y130" s="380"/>
      <c r="Z130" s="380"/>
      <c r="AA130" s="380"/>
      <c r="AB130" s="380"/>
      <c r="AC130" s="380"/>
      <c r="AD130" s="671"/>
      <c r="AE130" s="380"/>
      <c r="AF130" s="380"/>
      <c r="AG130" s="380"/>
      <c r="AH130" s="671"/>
      <c r="AI130" s="380"/>
      <c r="AJ130" s="583"/>
      <c r="AK130" s="583"/>
      <c r="AL130" s="511"/>
      <c r="AM130" s="584"/>
      <c r="AN130" s="584"/>
      <c r="AO130" s="584"/>
      <c r="AP130" s="671"/>
      <c r="AQ130" s="584"/>
      <c r="AR130" s="583"/>
      <c r="AS130" s="583"/>
      <c r="AT130" s="585"/>
      <c r="AU130" s="585"/>
      <c r="AV130" s="585"/>
      <c r="AW130" s="585"/>
      <c r="AX130" s="673"/>
      <c r="AY130" s="380"/>
      <c r="AZ130" s="380"/>
      <c r="BA130" s="380"/>
      <c r="BB130" s="380"/>
      <c r="BC130" s="380"/>
      <c r="BD130" s="380"/>
      <c r="BE130" s="380"/>
      <c r="BF130" s="380"/>
      <c r="BG130" s="380"/>
      <c r="BH130" s="380"/>
      <c r="BI130" s="511"/>
      <c r="BJ130" s="380"/>
      <c r="BK130" s="380"/>
      <c r="BL130" s="380"/>
      <c r="BM130" s="380"/>
      <c r="BN130" s="380"/>
      <c r="BO130" s="380"/>
      <c r="BP130" s="380"/>
      <c r="BQ130" s="380"/>
      <c r="BR130" s="380"/>
    </row>
    <row r="131" spans="1:70" ht="12.75" customHeight="1" x14ac:dyDescent="0.25">
      <c r="A131" s="380"/>
      <c r="B131" s="380"/>
      <c r="C131" s="380"/>
      <c r="D131" s="380"/>
      <c r="E131" s="511"/>
      <c r="F131" s="511"/>
      <c r="G131" s="582"/>
      <c r="H131" s="511"/>
      <c r="I131" s="511"/>
      <c r="J131" s="582"/>
      <c r="K131" s="511"/>
      <c r="L131" s="511"/>
      <c r="M131" s="582"/>
      <c r="N131" s="582"/>
      <c r="O131" s="582"/>
      <c r="P131" s="582"/>
      <c r="Q131" s="511"/>
      <c r="R131" s="511"/>
      <c r="S131" s="511"/>
      <c r="T131" s="639"/>
      <c r="U131" s="511"/>
      <c r="V131" s="511"/>
      <c r="W131" s="511"/>
      <c r="X131" s="511"/>
      <c r="Y131" s="380"/>
      <c r="Z131" s="380"/>
      <c r="AA131" s="380"/>
      <c r="AB131" s="380"/>
      <c r="AC131" s="380"/>
      <c r="AD131" s="671"/>
      <c r="AE131" s="380"/>
      <c r="AF131" s="380"/>
      <c r="AG131" s="380"/>
      <c r="AH131" s="671"/>
      <c r="AI131" s="380"/>
      <c r="AJ131" s="583"/>
      <c r="AK131" s="583"/>
      <c r="AL131" s="511"/>
      <c r="AM131" s="584"/>
      <c r="AN131" s="584"/>
      <c r="AO131" s="584"/>
      <c r="AP131" s="671"/>
      <c r="AQ131" s="584"/>
      <c r="AR131" s="583"/>
      <c r="AS131" s="583"/>
      <c r="AT131" s="585"/>
      <c r="AU131" s="585"/>
      <c r="AV131" s="585"/>
      <c r="AW131" s="585"/>
      <c r="AX131" s="673"/>
      <c r="AY131" s="380"/>
      <c r="AZ131" s="380"/>
      <c r="BA131" s="380"/>
      <c r="BB131" s="380"/>
      <c r="BC131" s="380"/>
      <c r="BD131" s="380"/>
      <c r="BE131" s="380"/>
      <c r="BF131" s="380"/>
      <c r="BG131" s="380"/>
      <c r="BH131" s="380"/>
      <c r="BI131" s="511"/>
      <c r="BJ131" s="380"/>
      <c r="BK131" s="380"/>
      <c r="BL131" s="380"/>
      <c r="BM131" s="380"/>
      <c r="BN131" s="380"/>
      <c r="BO131" s="380"/>
      <c r="BP131" s="380"/>
      <c r="BQ131" s="380"/>
      <c r="BR131" s="380"/>
    </row>
    <row r="132" spans="1:70" ht="12.75" customHeight="1" x14ac:dyDescent="0.25">
      <c r="A132" s="380"/>
      <c r="B132" s="380"/>
      <c r="C132" s="380"/>
      <c r="D132" s="380"/>
      <c r="E132" s="511"/>
      <c r="F132" s="511"/>
      <c r="G132" s="582"/>
      <c r="H132" s="511"/>
      <c r="I132" s="511"/>
      <c r="J132" s="582"/>
      <c r="K132" s="511"/>
      <c r="L132" s="511"/>
      <c r="M132" s="582"/>
      <c r="N132" s="582"/>
      <c r="O132" s="582"/>
      <c r="P132" s="582"/>
      <c r="Q132" s="511"/>
      <c r="R132" s="511"/>
      <c r="S132" s="511"/>
      <c r="T132" s="639"/>
      <c r="U132" s="511"/>
      <c r="V132" s="511"/>
      <c r="W132" s="511"/>
      <c r="X132" s="511"/>
      <c r="Y132" s="380"/>
      <c r="Z132" s="380"/>
      <c r="AA132" s="380"/>
      <c r="AB132" s="380"/>
      <c r="AC132" s="380"/>
      <c r="AD132" s="671"/>
      <c r="AE132" s="380"/>
      <c r="AF132" s="380"/>
      <c r="AG132" s="380"/>
      <c r="AH132" s="671"/>
      <c r="AI132" s="380"/>
      <c r="AJ132" s="583"/>
      <c r="AK132" s="583"/>
      <c r="AL132" s="511"/>
      <c r="AM132" s="584"/>
      <c r="AN132" s="584"/>
      <c r="AO132" s="584"/>
      <c r="AP132" s="671"/>
      <c r="AQ132" s="584"/>
      <c r="AR132" s="583"/>
      <c r="AS132" s="583"/>
      <c r="AT132" s="585"/>
      <c r="AU132" s="585"/>
      <c r="AV132" s="585"/>
      <c r="AW132" s="585"/>
      <c r="AX132" s="673"/>
      <c r="AY132" s="380"/>
      <c r="AZ132" s="380"/>
      <c r="BA132" s="380"/>
      <c r="BB132" s="380"/>
      <c r="BC132" s="380"/>
      <c r="BD132" s="380"/>
      <c r="BE132" s="380"/>
      <c r="BF132" s="380"/>
      <c r="BG132" s="380"/>
      <c r="BH132" s="380"/>
      <c r="BI132" s="511"/>
      <c r="BJ132" s="380"/>
      <c r="BK132" s="380"/>
      <c r="BL132" s="380"/>
      <c r="BM132" s="380"/>
      <c r="BN132" s="380"/>
      <c r="BO132" s="380"/>
      <c r="BP132" s="380"/>
      <c r="BQ132" s="380"/>
      <c r="BR132" s="380"/>
    </row>
    <row r="133" spans="1:70" ht="12.75" customHeight="1" x14ac:dyDescent="0.25">
      <c r="A133" s="380"/>
      <c r="B133" s="380"/>
      <c r="C133" s="380"/>
      <c r="D133" s="380"/>
      <c r="E133" s="511"/>
      <c r="F133" s="511"/>
      <c r="G133" s="582"/>
      <c r="H133" s="511"/>
      <c r="I133" s="511"/>
      <c r="J133" s="582"/>
      <c r="K133" s="511"/>
      <c r="L133" s="511"/>
      <c r="M133" s="582"/>
      <c r="N133" s="582"/>
      <c r="O133" s="582"/>
      <c r="P133" s="582"/>
      <c r="Q133" s="511"/>
      <c r="R133" s="511"/>
      <c r="S133" s="511"/>
      <c r="T133" s="639"/>
      <c r="U133" s="511"/>
      <c r="V133" s="511"/>
      <c r="W133" s="511"/>
      <c r="X133" s="511"/>
      <c r="Y133" s="380"/>
      <c r="Z133" s="380"/>
      <c r="AA133" s="380"/>
      <c r="AB133" s="380"/>
      <c r="AC133" s="380"/>
      <c r="AD133" s="671"/>
      <c r="AE133" s="380"/>
      <c r="AF133" s="380"/>
      <c r="AG133" s="380"/>
      <c r="AH133" s="671"/>
      <c r="AI133" s="380"/>
      <c r="AJ133" s="583"/>
      <c r="AK133" s="583"/>
      <c r="AL133" s="511"/>
      <c r="AM133" s="584"/>
      <c r="AN133" s="584"/>
      <c r="AO133" s="584"/>
      <c r="AP133" s="671"/>
      <c r="AQ133" s="584"/>
      <c r="AR133" s="583"/>
      <c r="AS133" s="583"/>
      <c r="AT133" s="585"/>
      <c r="AU133" s="585"/>
      <c r="AV133" s="585"/>
      <c r="AW133" s="585"/>
      <c r="AX133" s="673"/>
      <c r="AY133" s="380"/>
      <c r="AZ133" s="380"/>
      <c r="BA133" s="380"/>
      <c r="BB133" s="380"/>
      <c r="BC133" s="380"/>
      <c r="BD133" s="380"/>
      <c r="BE133" s="380"/>
      <c r="BF133" s="380"/>
      <c r="BG133" s="380"/>
      <c r="BH133" s="380"/>
      <c r="BI133" s="511"/>
      <c r="BJ133" s="380"/>
      <c r="BK133" s="380"/>
      <c r="BL133" s="380"/>
      <c r="BM133" s="380"/>
      <c r="BN133" s="380"/>
      <c r="BO133" s="380"/>
      <c r="BP133" s="380"/>
      <c r="BQ133" s="380"/>
      <c r="BR133" s="380"/>
    </row>
    <row r="134" spans="1:70" ht="12.75" customHeight="1" x14ac:dyDescent="0.25">
      <c r="A134" s="380"/>
      <c r="B134" s="380"/>
      <c r="C134" s="380"/>
      <c r="D134" s="380"/>
      <c r="E134" s="511"/>
      <c r="F134" s="511"/>
      <c r="G134" s="582"/>
      <c r="H134" s="511"/>
      <c r="I134" s="511"/>
      <c r="J134" s="582"/>
      <c r="K134" s="511"/>
      <c r="L134" s="511"/>
      <c r="M134" s="582"/>
      <c r="N134" s="582"/>
      <c r="O134" s="582"/>
      <c r="P134" s="582"/>
      <c r="Q134" s="511"/>
      <c r="R134" s="511"/>
      <c r="S134" s="511"/>
      <c r="T134" s="639"/>
      <c r="U134" s="511"/>
      <c r="V134" s="511"/>
      <c r="W134" s="511"/>
      <c r="X134" s="511"/>
      <c r="Y134" s="380"/>
      <c r="Z134" s="380"/>
      <c r="AA134" s="380"/>
      <c r="AB134" s="380"/>
      <c r="AC134" s="380"/>
      <c r="AD134" s="671"/>
      <c r="AE134" s="380"/>
      <c r="AF134" s="380"/>
      <c r="AG134" s="380"/>
      <c r="AH134" s="671"/>
      <c r="AI134" s="380"/>
      <c r="AJ134" s="583"/>
      <c r="AK134" s="583"/>
      <c r="AL134" s="511"/>
      <c r="AM134" s="584"/>
      <c r="AN134" s="584"/>
      <c r="AO134" s="584"/>
      <c r="AP134" s="671"/>
      <c r="AQ134" s="584"/>
      <c r="AR134" s="583"/>
      <c r="AS134" s="583"/>
      <c r="AT134" s="585"/>
      <c r="AU134" s="585"/>
      <c r="AV134" s="585"/>
      <c r="AW134" s="585"/>
      <c r="AX134" s="673"/>
      <c r="AY134" s="380"/>
      <c r="AZ134" s="380"/>
      <c r="BA134" s="380"/>
      <c r="BB134" s="380"/>
      <c r="BC134" s="380"/>
      <c r="BD134" s="380"/>
      <c r="BE134" s="380"/>
      <c r="BF134" s="380"/>
      <c r="BG134" s="380"/>
      <c r="BH134" s="380"/>
      <c r="BI134" s="511"/>
      <c r="BJ134" s="380"/>
      <c r="BK134" s="380"/>
      <c r="BL134" s="380"/>
      <c r="BM134" s="380"/>
      <c r="BN134" s="380"/>
      <c r="BO134" s="380"/>
      <c r="BP134" s="380"/>
      <c r="BQ134" s="380"/>
      <c r="BR134" s="380"/>
    </row>
    <row r="135" spans="1:70" ht="12.75" customHeight="1" x14ac:dyDescent="0.25">
      <c r="A135" s="380"/>
      <c r="B135" s="380"/>
      <c r="C135" s="380"/>
      <c r="D135" s="380"/>
      <c r="E135" s="511"/>
      <c r="F135" s="511"/>
      <c r="G135" s="582"/>
      <c r="H135" s="511"/>
      <c r="I135" s="511"/>
      <c r="J135" s="582"/>
      <c r="K135" s="511"/>
      <c r="L135" s="511"/>
      <c r="M135" s="582"/>
      <c r="N135" s="582"/>
      <c r="O135" s="582"/>
      <c r="P135" s="582"/>
      <c r="Q135" s="511"/>
      <c r="R135" s="511"/>
      <c r="S135" s="511"/>
      <c r="T135" s="639"/>
      <c r="U135" s="511"/>
      <c r="V135" s="511"/>
      <c r="W135" s="511"/>
      <c r="X135" s="511"/>
      <c r="Y135" s="380"/>
      <c r="Z135" s="380"/>
      <c r="AA135" s="380"/>
      <c r="AB135" s="380"/>
      <c r="AC135" s="380"/>
      <c r="AD135" s="671"/>
      <c r="AE135" s="380"/>
      <c r="AF135" s="380"/>
      <c r="AG135" s="380"/>
      <c r="AH135" s="671"/>
      <c r="AI135" s="380"/>
      <c r="AJ135" s="583"/>
      <c r="AK135" s="583"/>
      <c r="AL135" s="511"/>
      <c r="AM135" s="584"/>
      <c r="AN135" s="584"/>
      <c r="AO135" s="584"/>
      <c r="AP135" s="671"/>
      <c r="AQ135" s="584"/>
      <c r="AR135" s="583"/>
      <c r="AS135" s="583"/>
      <c r="AT135" s="585"/>
      <c r="AU135" s="585"/>
      <c r="AV135" s="585"/>
      <c r="AW135" s="585"/>
      <c r="AX135" s="673"/>
      <c r="AY135" s="380"/>
      <c r="AZ135" s="380"/>
      <c r="BA135" s="380"/>
      <c r="BB135" s="380"/>
      <c r="BC135" s="380"/>
      <c r="BD135" s="380"/>
      <c r="BE135" s="380"/>
      <c r="BF135" s="380"/>
      <c r="BG135" s="380"/>
      <c r="BH135" s="380"/>
      <c r="BI135" s="511"/>
      <c r="BJ135" s="380"/>
      <c r="BK135" s="380"/>
      <c r="BL135" s="380"/>
      <c r="BM135" s="380"/>
      <c r="BN135" s="380"/>
      <c r="BO135" s="380"/>
      <c r="BP135" s="380"/>
      <c r="BQ135" s="380"/>
      <c r="BR135" s="380"/>
    </row>
    <row r="136" spans="1:70" ht="12.75" customHeight="1" x14ac:dyDescent="0.25">
      <c r="A136" s="380"/>
      <c r="B136" s="380"/>
      <c r="C136" s="380"/>
      <c r="D136" s="380"/>
      <c r="E136" s="511"/>
      <c r="F136" s="511"/>
      <c r="G136" s="582"/>
      <c r="H136" s="511"/>
      <c r="I136" s="511"/>
      <c r="J136" s="582"/>
      <c r="K136" s="511"/>
      <c r="L136" s="511"/>
      <c r="M136" s="582"/>
      <c r="N136" s="582"/>
      <c r="O136" s="582"/>
      <c r="P136" s="582"/>
      <c r="Q136" s="511"/>
      <c r="R136" s="511"/>
      <c r="S136" s="511"/>
      <c r="T136" s="639"/>
      <c r="U136" s="511"/>
      <c r="V136" s="511"/>
      <c r="W136" s="511"/>
      <c r="X136" s="511"/>
      <c r="Y136" s="380"/>
      <c r="Z136" s="380"/>
      <c r="AA136" s="380"/>
      <c r="AB136" s="380"/>
      <c r="AC136" s="380"/>
      <c r="AD136" s="671"/>
      <c r="AE136" s="380"/>
      <c r="AF136" s="380"/>
      <c r="AG136" s="380"/>
      <c r="AH136" s="671"/>
      <c r="AI136" s="380"/>
      <c r="AJ136" s="583"/>
      <c r="AK136" s="583"/>
      <c r="AL136" s="511"/>
      <c r="AM136" s="584"/>
      <c r="AN136" s="584"/>
      <c r="AO136" s="584"/>
      <c r="AP136" s="671"/>
      <c r="AQ136" s="584"/>
      <c r="AR136" s="583"/>
      <c r="AS136" s="583"/>
      <c r="AT136" s="585"/>
      <c r="AU136" s="585"/>
      <c r="AV136" s="585"/>
      <c r="AW136" s="585"/>
      <c r="AX136" s="673"/>
      <c r="AY136" s="380"/>
      <c r="AZ136" s="380"/>
      <c r="BA136" s="380"/>
      <c r="BB136" s="380"/>
      <c r="BC136" s="380"/>
      <c r="BD136" s="380"/>
      <c r="BE136" s="380"/>
      <c r="BF136" s="380"/>
      <c r="BG136" s="380"/>
      <c r="BH136" s="380"/>
      <c r="BI136" s="511"/>
      <c r="BJ136" s="380"/>
      <c r="BK136" s="380"/>
      <c r="BL136" s="380"/>
      <c r="BM136" s="380"/>
      <c r="BN136" s="380"/>
      <c r="BO136" s="380"/>
      <c r="BP136" s="380"/>
      <c r="BQ136" s="380"/>
      <c r="BR136" s="380"/>
    </row>
    <row r="137" spans="1:70" ht="12.75" customHeight="1" x14ac:dyDescent="0.25">
      <c r="A137" s="380"/>
      <c r="B137" s="380"/>
      <c r="C137" s="380"/>
      <c r="D137" s="380"/>
      <c r="E137" s="511"/>
      <c r="F137" s="511"/>
      <c r="G137" s="582"/>
      <c r="H137" s="511"/>
      <c r="I137" s="511"/>
      <c r="J137" s="582"/>
      <c r="K137" s="511"/>
      <c r="L137" s="511"/>
      <c r="M137" s="582"/>
      <c r="N137" s="582"/>
      <c r="O137" s="582"/>
      <c r="P137" s="582"/>
      <c r="Q137" s="511"/>
      <c r="R137" s="511"/>
      <c r="S137" s="511"/>
      <c r="T137" s="639"/>
      <c r="U137" s="511"/>
      <c r="V137" s="511"/>
      <c r="W137" s="511"/>
      <c r="X137" s="511"/>
      <c r="Y137" s="380"/>
      <c r="Z137" s="380"/>
      <c r="AA137" s="380"/>
      <c r="AB137" s="380"/>
      <c r="AC137" s="380"/>
      <c r="AD137" s="671"/>
      <c r="AE137" s="380"/>
      <c r="AF137" s="380"/>
      <c r="AG137" s="380"/>
      <c r="AH137" s="671"/>
      <c r="AI137" s="380"/>
      <c r="AJ137" s="583"/>
      <c r="AK137" s="583"/>
      <c r="AL137" s="511"/>
      <c r="AM137" s="584"/>
      <c r="AN137" s="584"/>
      <c r="AO137" s="584"/>
      <c r="AP137" s="671"/>
      <c r="AQ137" s="584"/>
      <c r="AR137" s="583"/>
      <c r="AS137" s="583"/>
      <c r="AT137" s="585"/>
      <c r="AU137" s="585"/>
      <c r="AV137" s="585"/>
      <c r="AW137" s="585"/>
      <c r="AX137" s="673"/>
      <c r="AY137" s="380"/>
      <c r="AZ137" s="380"/>
      <c r="BA137" s="380"/>
      <c r="BB137" s="380"/>
      <c r="BC137" s="380"/>
      <c r="BD137" s="380"/>
      <c r="BE137" s="380"/>
      <c r="BF137" s="380"/>
      <c r="BG137" s="380"/>
      <c r="BH137" s="380"/>
      <c r="BI137" s="511"/>
      <c r="BJ137" s="380"/>
      <c r="BK137" s="380"/>
      <c r="BL137" s="380"/>
      <c r="BM137" s="380"/>
      <c r="BN137" s="380"/>
      <c r="BO137" s="380"/>
      <c r="BP137" s="380"/>
      <c r="BQ137" s="380"/>
      <c r="BR137" s="380"/>
    </row>
    <row r="138" spans="1:70" ht="12.75" customHeight="1" x14ac:dyDescent="0.25">
      <c r="A138" s="380"/>
      <c r="B138" s="380"/>
      <c r="C138" s="380"/>
      <c r="D138" s="380"/>
      <c r="E138" s="511"/>
      <c r="F138" s="511"/>
      <c r="G138" s="582"/>
      <c r="H138" s="511"/>
      <c r="I138" s="511"/>
      <c r="J138" s="582"/>
      <c r="K138" s="511"/>
      <c r="L138" s="511"/>
      <c r="M138" s="582"/>
      <c r="N138" s="582"/>
      <c r="O138" s="582"/>
      <c r="P138" s="582"/>
      <c r="Q138" s="511"/>
      <c r="R138" s="511"/>
      <c r="S138" s="511"/>
      <c r="T138" s="639"/>
      <c r="U138" s="511"/>
      <c r="V138" s="511"/>
      <c r="W138" s="511"/>
      <c r="X138" s="511"/>
      <c r="Y138" s="380"/>
      <c r="Z138" s="380"/>
      <c r="AA138" s="380"/>
      <c r="AB138" s="380"/>
      <c r="AC138" s="380"/>
      <c r="AD138" s="671"/>
      <c r="AE138" s="380"/>
      <c r="AF138" s="380"/>
      <c r="AG138" s="380"/>
      <c r="AH138" s="671"/>
      <c r="AI138" s="380"/>
      <c r="AJ138" s="583"/>
      <c r="AK138" s="583"/>
      <c r="AL138" s="511"/>
      <c r="AM138" s="584"/>
      <c r="AN138" s="584"/>
      <c r="AO138" s="584"/>
      <c r="AP138" s="671"/>
      <c r="AQ138" s="584"/>
      <c r="AR138" s="583"/>
      <c r="AS138" s="583"/>
      <c r="AT138" s="585"/>
      <c r="AU138" s="585"/>
      <c r="AV138" s="585"/>
      <c r="AW138" s="585"/>
      <c r="AX138" s="673"/>
      <c r="AY138" s="380"/>
      <c r="AZ138" s="380"/>
      <c r="BA138" s="380"/>
      <c r="BB138" s="380"/>
      <c r="BC138" s="380"/>
      <c r="BD138" s="380"/>
      <c r="BE138" s="380"/>
      <c r="BF138" s="380"/>
      <c r="BG138" s="380"/>
      <c r="BH138" s="380"/>
      <c r="BI138" s="511"/>
      <c r="BJ138" s="380"/>
      <c r="BK138" s="380"/>
      <c r="BL138" s="380"/>
      <c r="BM138" s="380"/>
      <c r="BN138" s="380"/>
      <c r="BO138" s="380"/>
      <c r="BP138" s="380"/>
      <c r="BQ138" s="380"/>
      <c r="BR138" s="380"/>
    </row>
    <row r="139" spans="1:70" ht="12.75" customHeight="1" x14ac:dyDescent="0.25">
      <c r="A139" s="380"/>
      <c r="B139" s="380"/>
      <c r="C139" s="380"/>
      <c r="D139" s="380"/>
      <c r="E139" s="511"/>
      <c r="F139" s="511"/>
      <c r="G139" s="582"/>
      <c r="H139" s="511"/>
      <c r="I139" s="511"/>
      <c r="J139" s="582"/>
      <c r="K139" s="511"/>
      <c r="L139" s="511"/>
      <c r="M139" s="582"/>
      <c r="N139" s="582"/>
      <c r="O139" s="582"/>
      <c r="P139" s="582"/>
      <c r="Q139" s="511"/>
      <c r="R139" s="511"/>
      <c r="S139" s="511"/>
      <c r="T139" s="639"/>
      <c r="U139" s="511"/>
      <c r="V139" s="511"/>
      <c r="W139" s="511"/>
      <c r="X139" s="511"/>
      <c r="Y139" s="380"/>
      <c r="Z139" s="380"/>
      <c r="AA139" s="380"/>
      <c r="AB139" s="380"/>
      <c r="AC139" s="380"/>
      <c r="AD139" s="671"/>
      <c r="AE139" s="380"/>
      <c r="AF139" s="380"/>
      <c r="AG139" s="380"/>
      <c r="AH139" s="671"/>
      <c r="AI139" s="380"/>
      <c r="AJ139" s="583"/>
      <c r="AK139" s="583"/>
      <c r="AL139" s="511"/>
      <c r="AM139" s="584"/>
      <c r="AN139" s="584"/>
      <c r="AO139" s="584"/>
      <c r="AP139" s="671"/>
      <c r="AQ139" s="584"/>
      <c r="AR139" s="583"/>
      <c r="AS139" s="583"/>
      <c r="AT139" s="585"/>
      <c r="AU139" s="585"/>
      <c r="AV139" s="585"/>
      <c r="AW139" s="585"/>
      <c r="AX139" s="673"/>
      <c r="AY139" s="380"/>
      <c r="AZ139" s="380"/>
      <c r="BA139" s="380"/>
      <c r="BB139" s="380"/>
      <c r="BC139" s="380"/>
      <c r="BD139" s="380"/>
      <c r="BE139" s="380"/>
      <c r="BF139" s="380"/>
      <c r="BG139" s="380"/>
      <c r="BH139" s="380"/>
      <c r="BI139" s="511"/>
      <c r="BJ139" s="380"/>
      <c r="BK139" s="380"/>
      <c r="BL139" s="380"/>
      <c r="BM139" s="380"/>
      <c r="BN139" s="380"/>
      <c r="BO139" s="380"/>
      <c r="BP139" s="380"/>
      <c r="BQ139" s="380"/>
      <c r="BR139" s="380"/>
    </row>
    <row r="140" spans="1:70" ht="12.75" customHeight="1" x14ac:dyDescent="0.25">
      <c r="A140" s="380"/>
      <c r="B140" s="380"/>
      <c r="C140" s="380"/>
      <c r="D140" s="380"/>
      <c r="E140" s="511"/>
      <c r="F140" s="511"/>
      <c r="G140" s="582"/>
      <c r="H140" s="511"/>
      <c r="I140" s="511"/>
      <c r="J140" s="582"/>
      <c r="K140" s="511"/>
      <c r="L140" s="511"/>
      <c r="M140" s="582"/>
      <c r="N140" s="582"/>
      <c r="O140" s="582"/>
      <c r="P140" s="582"/>
      <c r="Q140" s="511"/>
      <c r="R140" s="511"/>
      <c r="S140" s="511"/>
      <c r="T140" s="639"/>
      <c r="U140" s="511"/>
      <c r="V140" s="511"/>
      <c r="W140" s="511"/>
      <c r="X140" s="511"/>
      <c r="Y140" s="380"/>
      <c r="Z140" s="380"/>
      <c r="AA140" s="380"/>
      <c r="AB140" s="380"/>
      <c r="AC140" s="380"/>
      <c r="AD140" s="671"/>
      <c r="AE140" s="380"/>
      <c r="AF140" s="380"/>
      <c r="AG140" s="380"/>
      <c r="AH140" s="671"/>
      <c r="AI140" s="380"/>
      <c r="AJ140" s="583"/>
      <c r="AK140" s="583"/>
      <c r="AL140" s="511"/>
      <c r="AM140" s="584"/>
      <c r="AN140" s="584"/>
      <c r="AO140" s="584"/>
      <c r="AP140" s="671"/>
      <c r="AQ140" s="584"/>
      <c r="AR140" s="583"/>
      <c r="AS140" s="583"/>
      <c r="AT140" s="585"/>
      <c r="AU140" s="585"/>
      <c r="AV140" s="585"/>
      <c r="AW140" s="585"/>
      <c r="AX140" s="673"/>
      <c r="AY140" s="380"/>
      <c r="AZ140" s="380"/>
      <c r="BA140" s="380"/>
      <c r="BB140" s="380"/>
      <c r="BC140" s="380"/>
      <c r="BD140" s="380"/>
      <c r="BE140" s="380"/>
      <c r="BF140" s="380"/>
      <c r="BG140" s="380"/>
      <c r="BH140" s="380"/>
      <c r="BI140" s="511"/>
      <c r="BJ140" s="380"/>
      <c r="BK140" s="380"/>
      <c r="BL140" s="380"/>
      <c r="BM140" s="380"/>
      <c r="BN140" s="380"/>
      <c r="BO140" s="380"/>
      <c r="BP140" s="380"/>
      <c r="BQ140" s="380"/>
      <c r="BR140" s="380"/>
    </row>
    <row r="141" spans="1:70" ht="12.75" customHeight="1" x14ac:dyDescent="0.25">
      <c r="A141" s="380"/>
      <c r="B141" s="380"/>
      <c r="C141" s="380"/>
      <c r="D141" s="380"/>
      <c r="E141" s="511"/>
      <c r="F141" s="511"/>
      <c r="G141" s="582"/>
      <c r="H141" s="511"/>
      <c r="I141" s="511"/>
      <c r="J141" s="582"/>
      <c r="K141" s="511"/>
      <c r="L141" s="511"/>
      <c r="M141" s="582"/>
      <c r="N141" s="582"/>
      <c r="O141" s="582"/>
      <c r="P141" s="582"/>
      <c r="Q141" s="511"/>
      <c r="R141" s="511"/>
      <c r="S141" s="511"/>
      <c r="T141" s="639"/>
      <c r="U141" s="511"/>
      <c r="V141" s="511"/>
      <c r="W141" s="511"/>
      <c r="X141" s="511"/>
      <c r="Y141" s="380"/>
      <c r="Z141" s="380"/>
      <c r="AA141" s="380"/>
      <c r="AB141" s="380"/>
      <c r="AC141" s="380"/>
      <c r="AD141" s="671"/>
      <c r="AE141" s="380"/>
      <c r="AF141" s="380"/>
      <c r="AG141" s="380"/>
      <c r="AH141" s="671"/>
      <c r="AI141" s="380"/>
      <c r="AJ141" s="583"/>
      <c r="AK141" s="583"/>
      <c r="AL141" s="511"/>
      <c r="AM141" s="584"/>
      <c r="AN141" s="584"/>
      <c r="AO141" s="584"/>
      <c r="AP141" s="671"/>
      <c r="AQ141" s="584"/>
      <c r="AR141" s="583"/>
      <c r="AS141" s="583"/>
      <c r="AT141" s="585"/>
      <c r="AU141" s="585"/>
      <c r="AV141" s="585"/>
      <c r="AW141" s="585"/>
      <c r="AX141" s="673"/>
      <c r="AY141" s="380"/>
      <c r="AZ141" s="380"/>
      <c r="BA141" s="380"/>
      <c r="BB141" s="380"/>
      <c r="BC141" s="380"/>
      <c r="BD141" s="380"/>
      <c r="BE141" s="380"/>
      <c r="BF141" s="380"/>
      <c r="BG141" s="380"/>
      <c r="BH141" s="380"/>
      <c r="BI141" s="511"/>
      <c r="BJ141" s="380"/>
      <c r="BK141" s="380"/>
      <c r="BL141" s="380"/>
      <c r="BM141" s="380"/>
      <c r="BN141" s="380"/>
      <c r="BO141" s="380"/>
      <c r="BP141" s="380"/>
      <c r="BQ141" s="380"/>
      <c r="BR141" s="380"/>
    </row>
    <row r="142" spans="1:70" ht="12.75" customHeight="1" x14ac:dyDescent="0.25">
      <c r="A142" s="380"/>
      <c r="B142" s="380"/>
      <c r="C142" s="380"/>
      <c r="D142" s="380"/>
      <c r="E142" s="511"/>
      <c r="F142" s="511"/>
      <c r="G142" s="582"/>
      <c r="H142" s="511"/>
      <c r="I142" s="511"/>
      <c r="J142" s="582"/>
      <c r="K142" s="511"/>
      <c r="L142" s="511"/>
      <c r="M142" s="582"/>
      <c r="N142" s="582"/>
      <c r="O142" s="582"/>
      <c r="P142" s="582"/>
      <c r="Q142" s="511"/>
      <c r="R142" s="511"/>
      <c r="S142" s="511"/>
      <c r="T142" s="639"/>
      <c r="U142" s="511"/>
      <c r="V142" s="511"/>
      <c r="W142" s="511"/>
      <c r="X142" s="511"/>
      <c r="Y142" s="380"/>
      <c r="Z142" s="380"/>
      <c r="AA142" s="380"/>
      <c r="AB142" s="380"/>
      <c r="AC142" s="380"/>
      <c r="AD142" s="671"/>
      <c r="AE142" s="380"/>
      <c r="AF142" s="380"/>
      <c r="AG142" s="380"/>
      <c r="AH142" s="671"/>
      <c r="AI142" s="380"/>
      <c r="AJ142" s="583"/>
      <c r="AK142" s="583"/>
      <c r="AL142" s="511"/>
      <c r="AM142" s="584"/>
      <c r="AN142" s="584"/>
      <c r="AO142" s="584"/>
      <c r="AP142" s="671"/>
      <c r="AQ142" s="584"/>
      <c r="AR142" s="583"/>
      <c r="AS142" s="583"/>
      <c r="AT142" s="585"/>
      <c r="AU142" s="585"/>
      <c r="AV142" s="585"/>
      <c r="AW142" s="585"/>
      <c r="AX142" s="673"/>
      <c r="AY142" s="380"/>
      <c r="AZ142" s="380"/>
      <c r="BA142" s="380"/>
      <c r="BB142" s="380"/>
      <c r="BC142" s="380"/>
      <c r="BD142" s="380"/>
      <c r="BE142" s="380"/>
      <c r="BF142" s="380"/>
      <c r="BG142" s="380"/>
      <c r="BH142" s="380"/>
      <c r="BI142" s="511"/>
      <c r="BJ142" s="380"/>
      <c r="BK142" s="380"/>
      <c r="BL142" s="380"/>
      <c r="BM142" s="380"/>
      <c r="BN142" s="380"/>
      <c r="BO142" s="380"/>
      <c r="BP142" s="380"/>
      <c r="BQ142" s="380"/>
      <c r="BR142" s="380"/>
    </row>
    <row r="143" spans="1:70" ht="12.75" customHeight="1" x14ac:dyDescent="0.25">
      <c r="A143" s="380"/>
      <c r="B143" s="380"/>
      <c r="C143" s="380"/>
      <c r="D143" s="380"/>
      <c r="E143" s="511"/>
      <c r="F143" s="511"/>
      <c r="G143" s="582"/>
      <c r="H143" s="511"/>
      <c r="I143" s="511"/>
      <c r="J143" s="582"/>
      <c r="K143" s="511"/>
      <c r="L143" s="511"/>
      <c r="M143" s="582"/>
      <c r="N143" s="582"/>
      <c r="O143" s="582"/>
      <c r="P143" s="582"/>
      <c r="Q143" s="511"/>
      <c r="R143" s="511"/>
      <c r="S143" s="511"/>
      <c r="T143" s="639"/>
      <c r="U143" s="511"/>
      <c r="V143" s="511"/>
      <c r="W143" s="511"/>
      <c r="X143" s="511"/>
      <c r="Y143" s="380"/>
      <c r="Z143" s="380"/>
      <c r="AA143" s="380"/>
      <c r="AB143" s="380"/>
      <c r="AC143" s="380"/>
      <c r="AD143" s="671"/>
      <c r="AE143" s="380"/>
      <c r="AF143" s="380"/>
      <c r="AG143" s="380"/>
      <c r="AH143" s="671"/>
      <c r="AI143" s="380"/>
      <c r="AJ143" s="583"/>
      <c r="AK143" s="583"/>
      <c r="AL143" s="511"/>
      <c r="AM143" s="584"/>
      <c r="AN143" s="584"/>
      <c r="AO143" s="584"/>
      <c r="AP143" s="671"/>
      <c r="AQ143" s="584"/>
      <c r="AR143" s="583"/>
      <c r="AS143" s="583"/>
      <c r="AT143" s="585"/>
      <c r="AU143" s="585"/>
      <c r="AV143" s="585"/>
      <c r="AW143" s="585"/>
      <c r="AX143" s="673"/>
      <c r="AY143" s="380"/>
      <c r="AZ143" s="380"/>
      <c r="BA143" s="380"/>
      <c r="BB143" s="380"/>
      <c r="BC143" s="380"/>
      <c r="BD143" s="380"/>
      <c r="BE143" s="380"/>
      <c r="BF143" s="380"/>
      <c r="BG143" s="380"/>
      <c r="BH143" s="380"/>
      <c r="BI143" s="511"/>
      <c r="BJ143" s="380"/>
      <c r="BK143" s="380"/>
      <c r="BL143" s="380"/>
      <c r="BM143" s="380"/>
      <c r="BN143" s="380"/>
      <c r="BO143" s="380"/>
      <c r="BP143" s="380"/>
      <c r="BQ143" s="380"/>
      <c r="BR143" s="380"/>
    </row>
    <row r="144" spans="1:70" ht="12.75" customHeight="1" x14ac:dyDescent="0.25">
      <c r="A144" s="380"/>
      <c r="B144" s="380"/>
      <c r="C144" s="380"/>
      <c r="D144" s="380"/>
      <c r="E144" s="511"/>
      <c r="F144" s="511"/>
      <c r="G144" s="582"/>
      <c r="H144" s="511"/>
      <c r="I144" s="511"/>
      <c r="J144" s="582"/>
      <c r="K144" s="511"/>
      <c r="L144" s="511"/>
      <c r="M144" s="582"/>
      <c r="N144" s="582"/>
      <c r="O144" s="582"/>
      <c r="P144" s="582"/>
      <c r="Q144" s="511"/>
      <c r="R144" s="511"/>
      <c r="S144" s="511"/>
      <c r="T144" s="639"/>
      <c r="U144" s="511"/>
      <c r="V144" s="511"/>
      <c r="W144" s="511"/>
      <c r="X144" s="511"/>
      <c r="Y144" s="380"/>
      <c r="Z144" s="380"/>
      <c r="AA144" s="380"/>
      <c r="AB144" s="380"/>
      <c r="AC144" s="380"/>
      <c r="AD144" s="671"/>
      <c r="AE144" s="380"/>
      <c r="AF144" s="380"/>
      <c r="AG144" s="380"/>
      <c r="AH144" s="671"/>
      <c r="AI144" s="380"/>
      <c r="AJ144" s="583"/>
      <c r="AK144" s="583"/>
      <c r="AL144" s="511"/>
      <c r="AM144" s="584"/>
      <c r="AN144" s="584"/>
      <c r="AO144" s="584"/>
      <c r="AP144" s="671"/>
      <c r="AQ144" s="584"/>
      <c r="AR144" s="583"/>
      <c r="AS144" s="583"/>
      <c r="AT144" s="585"/>
      <c r="AU144" s="585"/>
      <c r="AV144" s="585"/>
      <c r="AW144" s="585"/>
      <c r="AX144" s="673"/>
      <c r="AY144" s="380"/>
      <c r="AZ144" s="380"/>
      <c r="BA144" s="380"/>
      <c r="BB144" s="380"/>
      <c r="BC144" s="380"/>
      <c r="BD144" s="380"/>
      <c r="BE144" s="380"/>
      <c r="BF144" s="380"/>
      <c r="BG144" s="380"/>
      <c r="BH144" s="380"/>
      <c r="BI144" s="511"/>
      <c r="BJ144" s="380"/>
      <c r="BK144" s="380"/>
      <c r="BL144" s="380"/>
      <c r="BM144" s="380"/>
      <c r="BN144" s="380"/>
      <c r="BO144" s="380"/>
      <c r="BP144" s="380"/>
      <c r="BQ144" s="380"/>
      <c r="BR144" s="380"/>
    </row>
    <row r="145" spans="1:70" ht="12.75" customHeight="1" x14ac:dyDescent="0.25">
      <c r="A145" s="380"/>
      <c r="B145" s="380"/>
      <c r="C145" s="380"/>
      <c r="D145" s="380"/>
      <c r="E145" s="511"/>
      <c r="F145" s="511"/>
      <c r="G145" s="582"/>
      <c r="H145" s="511"/>
      <c r="I145" s="511"/>
      <c r="J145" s="582"/>
      <c r="K145" s="511"/>
      <c r="L145" s="511"/>
      <c r="M145" s="582"/>
      <c r="N145" s="582"/>
      <c r="O145" s="582"/>
      <c r="P145" s="582"/>
      <c r="Q145" s="511"/>
      <c r="R145" s="511"/>
      <c r="S145" s="511"/>
      <c r="T145" s="639"/>
      <c r="U145" s="511"/>
      <c r="V145" s="511"/>
      <c r="W145" s="511"/>
      <c r="X145" s="511"/>
      <c r="Y145" s="380"/>
      <c r="Z145" s="380"/>
      <c r="AA145" s="380"/>
      <c r="AB145" s="380"/>
      <c r="AC145" s="380"/>
      <c r="AD145" s="671"/>
      <c r="AE145" s="380"/>
      <c r="AF145" s="380"/>
      <c r="AG145" s="380"/>
      <c r="AH145" s="671"/>
      <c r="AI145" s="380"/>
      <c r="AJ145" s="583"/>
      <c r="AK145" s="583"/>
      <c r="AL145" s="511"/>
      <c r="AM145" s="584"/>
      <c r="AN145" s="584"/>
      <c r="AO145" s="584"/>
      <c r="AP145" s="671"/>
      <c r="AQ145" s="584"/>
      <c r="AR145" s="583"/>
      <c r="AS145" s="583"/>
      <c r="AT145" s="585"/>
      <c r="AU145" s="585"/>
      <c r="AV145" s="585"/>
      <c r="AW145" s="585"/>
      <c r="AX145" s="673"/>
      <c r="AY145" s="380"/>
      <c r="AZ145" s="380"/>
      <c r="BA145" s="380"/>
      <c r="BB145" s="380"/>
      <c r="BC145" s="380"/>
      <c r="BD145" s="380"/>
      <c r="BE145" s="380"/>
      <c r="BF145" s="380"/>
      <c r="BG145" s="380"/>
      <c r="BH145" s="380"/>
      <c r="BI145" s="511"/>
      <c r="BJ145" s="380"/>
      <c r="BK145" s="380"/>
      <c r="BL145" s="380"/>
      <c r="BM145" s="380"/>
      <c r="BN145" s="380"/>
      <c r="BO145" s="380"/>
      <c r="BP145" s="380"/>
      <c r="BQ145" s="380"/>
      <c r="BR145" s="380"/>
    </row>
    <row r="146" spans="1:70" ht="12.75" customHeight="1" x14ac:dyDescent="0.25">
      <c r="A146" s="380"/>
      <c r="B146" s="380"/>
      <c r="C146" s="380"/>
      <c r="D146" s="380"/>
      <c r="E146" s="511"/>
      <c r="F146" s="511"/>
      <c r="G146" s="582"/>
      <c r="H146" s="511"/>
      <c r="I146" s="511"/>
      <c r="J146" s="582"/>
      <c r="K146" s="511"/>
      <c r="L146" s="511"/>
      <c r="M146" s="582"/>
      <c r="N146" s="582"/>
      <c r="O146" s="582"/>
      <c r="P146" s="582"/>
      <c r="Q146" s="511"/>
      <c r="R146" s="511"/>
      <c r="S146" s="511"/>
      <c r="T146" s="639"/>
      <c r="U146" s="511"/>
      <c r="V146" s="511"/>
      <c r="W146" s="511"/>
      <c r="X146" s="511"/>
      <c r="Y146" s="380"/>
      <c r="Z146" s="380"/>
      <c r="AA146" s="380"/>
      <c r="AB146" s="380"/>
      <c r="AC146" s="380"/>
      <c r="AD146" s="671"/>
      <c r="AE146" s="380"/>
      <c r="AF146" s="380"/>
      <c r="AG146" s="380"/>
      <c r="AH146" s="671"/>
      <c r="AI146" s="380"/>
      <c r="AJ146" s="583"/>
      <c r="AK146" s="583"/>
      <c r="AL146" s="511"/>
      <c r="AM146" s="584"/>
      <c r="AN146" s="584"/>
      <c r="AO146" s="584"/>
      <c r="AP146" s="671"/>
      <c r="AQ146" s="584"/>
      <c r="AR146" s="583"/>
      <c r="AS146" s="583"/>
      <c r="AT146" s="585"/>
      <c r="AU146" s="585"/>
      <c r="AV146" s="585"/>
      <c r="AW146" s="585"/>
      <c r="AX146" s="673"/>
      <c r="AY146" s="380"/>
      <c r="AZ146" s="380"/>
      <c r="BA146" s="380"/>
      <c r="BB146" s="380"/>
      <c r="BC146" s="380"/>
      <c r="BD146" s="380"/>
      <c r="BE146" s="380"/>
      <c r="BF146" s="380"/>
      <c r="BG146" s="380"/>
      <c r="BH146" s="380"/>
      <c r="BI146" s="511"/>
      <c r="BJ146" s="380"/>
      <c r="BK146" s="380"/>
      <c r="BL146" s="380"/>
      <c r="BM146" s="380"/>
      <c r="BN146" s="380"/>
      <c r="BO146" s="380"/>
      <c r="BP146" s="380"/>
      <c r="BQ146" s="380"/>
      <c r="BR146" s="380"/>
    </row>
    <row r="147" spans="1:70" ht="12.75" customHeight="1" x14ac:dyDescent="0.25">
      <c r="A147" s="380"/>
      <c r="B147" s="380"/>
      <c r="C147" s="380"/>
      <c r="D147" s="380"/>
      <c r="E147" s="511"/>
      <c r="F147" s="511"/>
      <c r="G147" s="582"/>
      <c r="H147" s="511"/>
      <c r="I147" s="511"/>
      <c r="J147" s="582"/>
      <c r="K147" s="511"/>
      <c r="L147" s="511"/>
      <c r="M147" s="582"/>
      <c r="N147" s="582"/>
      <c r="O147" s="582"/>
      <c r="P147" s="582"/>
      <c r="Q147" s="511"/>
      <c r="R147" s="511"/>
      <c r="S147" s="511"/>
      <c r="T147" s="639"/>
      <c r="U147" s="511"/>
      <c r="V147" s="511"/>
      <c r="W147" s="511"/>
      <c r="X147" s="511"/>
      <c r="Y147" s="380"/>
      <c r="Z147" s="380"/>
      <c r="AA147" s="380"/>
      <c r="AB147" s="380"/>
      <c r="AC147" s="380"/>
      <c r="AD147" s="671"/>
      <c r="AE147" s="380"/>
      <c r="AF147" s="380"/>
      <c r="AG147" s="380"/>
      <c r="AH147" s="671"/>
      <c r="AI147" s="380"/>
      <c r="AJ147" s="583"/>
      <c r="AK147" s="583"/>
      <c r="AL147" s="511"/>
      <c r="AM147" s="584"/>
      <c r="AN147" s="584"/>
      <c r="AO147" s="584"/>
      <c r="AP147" s="671"/>
      <c r="AQ147" s="584"/>
      <c r="AR147" s="583"/>
      <c r="AS147" s="583"/>
      <c r="AT147" s="585"/>
      <c r="AU147" s="585"/>
      <c r="AV147" s="585"/>
      <c r="AW147" s="585"/>
      <c r="AX147" s="673"/>
      <c r="AY147" s="380"/>
      <c r="AZ147" s="380"/>
      <c r="BA147" s="380"/>
      <c r="BB147" s="380"/>
      <c r="BC147" s="380"/>
      <c r="BD147" s="380"/>
      <c r="BE147" s="380"/>
      <c r="BF147" s="380"/>
      <c r="BG147" s="380"/>
      <c r="BH147" s="380"/>
      <c r="BI147" s="511"/>
      <c r="BJ147" s="380"/>
      <c r="BK147" s="380"/>
      <c r="BL147" s="380"/>
      <c r="BM147" s="380"/>
      <c r="BN147" s="380"/>
      <c r="BO147" s="380"/>
      <c r="BP147" s="380"/>
      <c r="BQ147" s="380"/>
      <c r="BR147" s="380"/>
    </row>
    <row r="148" spans="1:70" ht="12.75" customHeight="1" x14ac:dyDescent="0.25">
      <c r="A148" s="380"/>
      <c r="B148" s="380"/>
      <c r="C148" s="380"/>
      <c r="D148" s="380"/>
      <c r="E148" s="511"/>
      <c r="F148" s="511"/>
      <c r="G148" s="582"/>
      <c r="H148" s="511"/>
      <c r="I148" s="511"/>
      <c r="J148" s="582"/>
      <c r="K148" s="511"/>
      <c r="L148" s="511"/>
      <c r="M148" s="582"/>
      <c r="N148" s="582"/>
      <c r="O148" s="582"/>
      <c r="P148" s="582"/>
      <c r="Q148" s="511"/>
      <c r="R148" s="511"/>
      <c r="S148" s="511"/>
      <c r="T148" s="639"/>
      <c r="U148" s="511"/>
      <c r="V148" s="511"/>
      <c r="W148" s="511"/>
      <c r="X148" s="511"/>
      <c r="Y148" s="380"/>
      <c r="Z148" s="380"/>
      <c r="AA148" s="380"/>
      <c r="AB148" s="380"/>
      <c r="AC148" s="380"/>
      <c r="AD148" s="671"/>
      <c r="AE148" s="380"/>
      <c r="AF148" s="380"/>
      <c r="AG148" s="380"/>
      <c r="AH148" s="671"/>
      <c r="AI148" s="380"/>
      <c r="AJ148" s="583"/>
      <c r="AK148" s="583"/>
      <c r="AL148" s="511"/>
      <c r="AM148" s="584"/>
      <c r="AN148" s="584"/>
      <c r="AO148" s="584"/>
      <c r="AP148" s="671"/>
      <c r="AQ148" s="584"/>
      <c r="AR148" s="583"/>
      <c r="AS148" s="583"/>
      <c r="AT148" s="585"/>
      <c r="AU148" s="585"/>
      <c r="AV148" s="585"/>
      <c r="AW148" s="585"/>
      <c r="AX148" s="673"/>
      <c r="AY148" s="380"/>
      <c r="AZ148" s="380"/>
      <c r="BA148" s="380"/>
      <c r="BB148" s="380"/>
      <c r="BC148" s="380"/>
      <c r="BD148" s="380"/>
      <c r="BE148" s="380"/>
      <c r="BF148" s="380"/>
      <c r="BG148" s="380"/>
      <c r="BH148" s="380"/>
      <c r="BI148" s="511"/>
      <c r="BJ148" s="380"/>
      <c r="BK148" s="380"/>
      <c r="BL148" s="380"/>
      <c r="BM148" s="380"/>
      <c r="BN148" s="380"/>
      <c r="BO148" s="380"/>
      <c r="BP148" s="380"/>
      <c r="BQ148" s="380"/>
      <c r="BR148" s="380"/>
    </row>
    <row r="149" spans="1:70" ht="12.75" customHeight="1" x14ac:dyDescent="0.25">
      <c r="A149" s="380"/>
      <c r="B149" s="380"/>
      <c r="C149" s="380"/>
      <c r="D149" s="380"/>
      <c r="E149" s="511"/>
      <c r="F149" s="511"/>
      <c r="G149" s="582"/>
      <c r="H149" s="511"/>
      <c r="I149" s="511"/>
      <c r="J149" s="582"/>
      <c r="K149" s="511"/>
      <c r="L149" s="511"/>
      <c r="M149" s="582"/>
      <c r="N149" s="582"/>
      <c r="O149" s="582"/>
      <c r="P149" s="582"/>
      <c r="Q149" s="511"/>
      <c r="R149" s="511"/>
      <c r="S149" s="511"/>
      <c r="T149" s="639"/>
      <c r="U149" s="511"/>
      <c r="V149" s="511"/>
      <c r="W149" s="511"/>
      <c r="X149" s="511"/>
      <c r="Y149" s="380"/>
      <c r="Z149" s="380"/>
      <c r="AA149" s="380"/>
      <c r="AB149" s="380"/>
      <c r="AC149" s="380"/>
      <c r="AD149" s="671"/>
      <c r="AE149" s="380"/>
      <c r="AF149" s="380"/>
      <c r="AG149" s="380"/>
      <c r="AH149" s="671"/>
      <c r="AI149" s="380"/>
      <c r="AJ149" s="583"/>
      <c r="AK149" s="583"/>
      <c r="AL149" s="511"/>
      <c r="AM149" s="584"/>
      <c r="AN149" s="584"/>
      <c r="AO149" s="584"/>
      <c r="AP149" s="671"/>
      <c r="AQ149" s="584"/>
      <c r="AR149" s="583"/>
      <c r="AS149" s="583"/>
      <c r="AT149" s="585"/>
      <c r="AU149" s="585"/>
      <c r="AV149" s="585"/>
      <c r="AW149" s="585"/>
      <c r="AX149" s="673"/>
      <c r="AY149" s="380"/>
      <c r="AZ149" s="380"/>
      <c r="BA149" s="380"/>
      <c r="BB149" s="380"/>
      <c r="BC149" s="380"/>
      <c r="BD149" s="380"/>
      <c r="BE149" s="380"/>
      <c r="BF149" s="380"/>
      <c r="BG149" s="380"/>
      <c r="BH149" s="380"/>
      <c r="BI149" s="511"/>
      <c r="BJ149" s="380"/>
      <c r="BK149" s="380"/>
      <c r="BL149" s="380"/>
      <c r="BM149" s="380"/>
      <c r="BN149" s="380"/>
      <c r="BO149" s="380"/>
      <c r="BP149" s="380"/>
      <c r="BQ149" s="380"/>
      <c r="BR149" s="380"/>
    </row>
    <row r="150" spans="1:70" ht="12.75" customHeight="1" x14ac:dyDescent="0.25">
      <c r="A150" s="380"/>
      <c r="B150" s="380"/>
      <c r="C150" s="380"/>
      <c r="D150" s="380"/>
      <c r="E150" s="511"/>
      <c r="F150" s="511"/>
      <c r="G150" s="582"/>
      <c r="H150" s="511"/>
      <c r="I150" s="511"/>
      <c r="J150" s="582"/>
      <c r="K150" s="511"/>
      <c r="L150" s="511"/>
      <c r="M150" s="582"/>
      <c r="N150" s="582"/>
      <c r="O150" s="582"/>
      <c r="P150" s="582"/>
      <c r="Q150" s="511"/>
      <c r="R150" s="511"/>
      <c r="S150" s="511"/>
      <c r="T150" s="639"/>
      <c r="U150" s="511"/>
      <c r="V150" s="511"/>
      <c r="W150" s="511"/>
      <c r="X150" s="511"/>
      <c r="Y150" s="380"/>
      <c r="Z150" s="380"/>
      <c r="AA150" s="380"/>
      <c r="AB150" s="380"/>
      <c r="AC150" s="380"/>
      <c r="AD150" s="671"/>
      <c r="AE150" s="380"/>
      <c r="AF150" s="380"/>
      <c r="AG150" s="380"/>
      <c r="AH150" s="671"/>
      <c r="AI150" s="380"/>
      <c r="AJ150" s="583"/>
      <c r="AK150" s="583"/>
      <c r="AL150" s="511"/>
      <c r="AM150" s="584"/>
      <c r="AN150" s="584"/>
      <c r="AO150" s="584"/>
      <c r="AP150" s="671"/>
      <c r="AQ150" s="584"/>
      <c r="AR150" s="583"/>
      <c r="AS150" s="583"/>
      <c r="AT150" s="585"/>
      <c r="AU150" s="585"/>
      <c r="AV150" s="585"/>
      <c r="AW150" s="585"/>
      <c r="AX150" s="673"/>
      <c r="AY150" s="380"/>
      <c r="AZ150" s="380"/>
      <c r="BA150" s="380"/>
      <c r="BB150" s="380"/>
      <c r="BC150" s="380"/>
      <c r="BD150" s="380"/>
      <c r="BE150" s="380"/>
      <c r="BF150" s="380"/>
      <c r="BG150" s="380"/>
      <c r="BH150" s="380"/>
      <c r="BI150" s="511"/>
      <c r="BJ150" s="380"/>
      <c r="BK150" s="380"/>
      <c r="BL150" s="380"/>
      <c r="BM150" s="380"/>
      <c r="BN150" s="380"/>
      <c r="BO150" s="380"/>
      <c r="BP150" s="380"/>
      <c r="BQ150" s="380"/>
      <c r="BR150" s="380"/>
    </row>
    <row r="151" spans="1:70" ht="12.75" customHeight="1" x14ac:dyDescent="0.25">
      <c r="A151" s="380"/>
      <c r="B151" s="380"/>
      <c r="C151" s="380"/>
      <c r="D151" s="380"/>
      <c r="E151" s="511"/>
      <c r="F151" s="511"/>
      <c r="G151" s="582"/>
      <c r="H151" s="511"/>
      <c r="I151" s="511"/>
      <c r="J151" s="582"/>
      <c r="K151" s="511"/>
      <c r="L151" s="511"/>
      <c r="M151" s="582"/>
      <c r="N151" s="582"/>
      <c r="O151" s="582"/>
      <c r="P151" s="582"/>
      <c r="Q151" s="511"/>
      <c r="R151" s="511"/>
      <c r="S151" s="511"/>
      <c r="T151" s="639"/>
      <c r="U151" s="511"/>
      <c r="V151" s="511"/>
      <c r="W151" s="511"/>
      <c r="X151" s="511"/>
      <c r="Y151" s="380"/>
      <c r="Z151" s="380"/>
      <c r="AA151" s="380"/>
      <c r="AB151" s="380"/>
      <c r="AC151" s="380"/>
      <c r="AD151" s="671"/>
      <c r="AE151" s="380"/>
      <c r="AF151" s="380"/>
      <c r="AG151" s="380"/>
      <c r="AH151" s="671"/>
      <c r="AI151" s="380"/>
      <c r="AJ151" s="583"/>
      <c r="AK151" s="583"/>
      <c r="AL151" s="511"/>
      <c r="AM151" s="584"/>
      <c r="AN151" s="584"/>
      <c r="AO151" s="584"/>
      <c r="AP151" s="671"/>
      <c r="AQ151" s="584"/>
      <c r="AR151" s="583"/>
      <c r="AS151" s="583"/>
      <c r="AT151" s="585"/>
      <c r="AU151" s="585"/>
      <c r="AV151" s="585"/>
      <c r="AW151" s="585"/>
      <c r="AX151" s="673"/>
      <c r="AY151" s="380"/>
      <c r="AZ151" s="380"/>
      <c r="BA151" s="380"/>
      <c r="BB151" s="380"/>
      <c r="BC151" s="380"/>
      <c r="BD151" s="380"/>
      <c r="BE151" s="380"/>
      <c r="BF151" s="380"/>
      <c r="BG151" s="380"/>
      <c r="BH151" s="380"/>
      <c r="BI151" s="511"/>
      <c r="BJ151" s="380"/>
      <c r="BK151" s="380"/>
      <c r="BL151" s="380"/>
      <c r="BM151" s="380"/>
      <c r="BN151" s="380"/>
      <c r="BO151" s="380"/>
      <c r="BP151" s="380"/>
      <c r="BQ151" s="380"/>
      <c r="BR151" s="380"/>
    </row>
    <row r="152" spans="1:70" ht="12.75" customHeight="1" x14ac:dyDescent="0.25">
      <c r="A152" s="380"/>
      <c r="B152" s="380"/>
      <c r="C152" s="380"/>
      <c r="D152" s="380"/>
      <c r="E152" s="511"/>
      <c r="F152" s="511"/>
      <c r="G152" s="582"/>
      <c r="H152" s="511"/>
      <c r="I152" s="511"/>
      <c r="J152" s="582"/>
      <c r="K152" s="511"/>
      <c r="L152" s="511"/>
      <c r="M152" s="582"/>
      <c r="N152" s="582"/>
      <c r="O152" s="582"/>
      <c r="P152" s="582"/>
      <c r="Q152" s="511"/>
      <c r="R152" s="511"/>
      <c r="S152" s="511"/>
      <c r="T152" s="639"/>
      <c r="U152" s="511"/>
      <c r="V152" s="511"/>
      <c r="W152" s="511"/>
      <c r="X152" s="511"/>
      <c r="Y152" s="380"/>
      <c r="Z152" s="380"/>
      <c r="AA152" s="380"/>
      <c r="AB152" s="380"/>
      <c r="AC152" s="380"/>
      <c r="AD152" s="671"/>
      <c r="AE152" s="380"/>
      <c r="AF152" s="380"/>
      <c r="AG152" s="380"/>
      <c r="AH152" s="671"/>
      <c r="AI152" s="380"/>
      <c r="AJ152" s="583"/>
      <c r="AK152" s="583"/>
      <c r="AL152" s="511"/>
      <c r="AM152" s="584"/>
      <c r="AN152" s="584"/>
      <c r="AO152" s="584"/>
      <c r="AP152" s="671"/>
      <c r="AQ152" s="584"/>
      <c r="AR152" s="583"/>
      <c r="AS152" s="583"/>
      <c r="AT152" s="585"/>
      <c r="AU152" s="585"/>
      <c r="AV152" s="585"/>
      <c r="AW152" s="585"/>
      <c r="AX152" s="673"/>
      <c r="AY152" s="380"/>
      <c r="AZ152" s="380"/>
      <c r="BA152" s="380"/>
      <c r="BB152" s="380"/>
      <c r="BC152" s="380"/>
      <c r="BD152" s="380"/>
      <c r="BE152" s="380"/>
      <c r="BF152" s="380"/>
      <c r="BG152" s="380"/>
      <c r="BH152" s="380"/>
      <c r="BI152" s="511"/>
      <c r="BJ152" s="380"/>
      <c r="BK152" s="380"/>
      <c r="BL152" s="380"/>
      <c r="BM152" s="380"/>
      <c r="BN152" s="380"/>
      <c r="BO152" s="380"/>
      <c r="BP152" s="380"/>
      <c r="BQ152" s="380"/>
      <c r="BR152" s="380"/>
    </row>
    <row r="153" spans="1:70" ht="12.75" customHeight="1" x14ac:dyDescent="0.25">
      <c r="A153" s="380"/>
      <c r="B153" s="380"/>
      <c r="C153" s="380"/>
      <c r="D153" s="380"/>
      <c r="E153" s="511"/>
      <c r="F153" s="511"/>
      <c r="G153" s="582"/>
      <c r="H153" s="511"/>
      <c r="I153" s="511"/>
      <c r="J153" s="582"/>
      <c r="K153" s="511"/>
      <c r="L153" s="511"/>
      <c r="M153" s="582"/>
      <c r="N153" s="582"/>
      <c r="O153" s="582"/>
      <c r="P153" s="582"/>
      <c r="Q153" s="511"/>
      <c r="R153" s="511"/>
      <c r="S153" s="511"/>
      <c r="T153" s="639"/>
      <c r="U153" s="511"/>
      <c r="V153" s="511"/>
      <c r="W153" s="511"/>
      <c r="X153" s="511"/>
      <c r="Y153" s="380"/>
      <c r="Z153" s="380"/>
      <c r="AA153" s="380"/>
      <c r="AB153" s="380"/>
      <c r="AC153" s="380"/>
      <c r="AD153" s="671"/>
      <c r="AE153" s="380"/>
      <c r="AF153" s="380"/>
      <c r="AG153" s="380"/>
      <c r="AH153" s="671"/>
      <c r="AI153" s="380"/>
      <c r="AJ153" s="583"/>
      <c r="AK153" s="583"/>
      <c r="AL153" s="511"/>
      <c r="AM153" s="584"/>
      <c r="AN153" s="584"/>
      <c r="AO153" s="584"/>
      <c r="AP153" s="671"/>
      <c r="AQ153" s="584"/>
      <c r="AR153" s="583"/>
      <c r="AS153" s="583"/>
      <c r="AT153" s="585"/>
      <c r="AU153" s="585"/>
      <c r="AV153" s="585"/>
      <c r="AW153" s="585"/>
      <c r="AX153" s="673"/>
      <c r="AY153" s="380"/>
      <c r="AZ153" s="380"/>
      <c r="BA153" s="380"/>
      <c r="BB153" s="380"/>
      <c r="BC153" s="380"/>
      <c r="BD153" s="380"/>
      <c r="BE153" s="380"/>
      <c r="BF153" s="380"/>
      <c r="BG153" s="380"/>
      <c r="BH153" s="380"/>
      <c r="BI153" s="511"/>
      <c r="BJ153" s="380"/>
      <c r="BK153" s="380"/>
      <c r="BL153" s="380"/>
      <c r="BM153" s="380"/>
      <c r="BN153" s="380"/>
      <c r="BO153" s="380"/>
      <c r="BP153" s="380"/>
      <c r="BQ153" s="380"/>
      <c r="BR153" s="380"/>
    </row>
    <row r="154" spans="1:70" ht="12.75" customHeight="1" x14ac:dyDescent="0.25">
      <c r="A154" s="380"/>
      <c r="B154" s="380"/>
      <c r="C154" s="380"/>
      <c r="D154" s="380"/>
      <c r="E154" s="511"/>
      <c r="F154" s="511"/>
      <c r="G154" s="582"/>
      <c r="H154" s="511"/>
      <c r="I154" s="511"/>
      <c r="J154" s="582"/>
      <c r="K154" s="511"/>
      <c r="L154" s="511"/>
      <c r="M154" s="582"/>
      <c r="N154" s="582"/>
      <c r="O154" s="582"/>
      <c r="P154" s="582"/>
      <c r="Q154" s="511"/>
      <c r="R154" s="511"/>
      <c r="S154" s="511"/>
      <c r="T154" s="639"/>
      <c r="U154" s="511"/>
      <c r="V154" s="511"/>
      <c r="W154" s="511"/>
      <c r="X154" s="511"/>
      <c r="Y154" s="380"/>
      <c r="Z154" s="380"/>
      <c r="AA154" s="380"/>
      <c r="AB154" s="380"/>
      <c r="AC154" s="380"/>
      <c r="AD154" s="671"/>
      <c r="AE154" s="380"/>
      <c r="AF154" s="380"/>
      <c r="AG154" s="380"/>
      <c r="AH154" s="671"/>
      <c r="AI154" s="380"/>
      <c r="AJ154" s="583"/>
      <c r="AK154" s="583"/>
      <c r="AL154" s="511"/>
      <c r="AM154" s="584"/>
      <c r="AN154" s="584"/>
      <c r="AO154" s="584"/>
      <c r="AP154" s="671"/>
      <c r="AQ154" s="584"/>
      <c r="AR154" s="583"/>
      <c r="AS154" s="583"/>
      <c r="AT154" s="585"/>
      <c r="AU154" s="585"/>
      <c r="AV154" s="585"/>
      <c r="AW154" s="585"/>
      <c r="AX154" s="673"/>
      <c r="AY154" s="380"/>
      <c r="AZ154" s="380"/>
      <c r="BA154" s="380"/>
      <c r="BB154" s="380"/>
      <c r="BC154" s="380"/>
      <c r="BD154" s="380"/>
      <c r="BE154" s="380"/>
      <c r="BF154" s="380"/>
      <c r="BG154" s="380"/>
      <c r="BH154" s="380"/>
      <c r="BI154" s="511"/>
      <c r="BJ154" s="380"/>
      <c r="BK154" s="380"/>
      <c r="BL154" s="380"/>
      <c r="BM154" s="380"/>
      <c r="BN154" s="380"/>
      <c r="BO154" s="380"/>
      <c r="BP154" s="380"/>
      <c r="BQ154" s="380"/>
      <c r="BR154" s="380"/>
    </row>
    <row r="155" spans="1:70" ht="12.75" customHeight="1" x14ac:dyDescent="0.25">
      <c r="A155" s="380"/>
      <c r="B155" s="380"/>
      <c r="C155" s="380"/>
      <c r="D155" s="380"/>
      <c r="E155" s="511"/>
      <c r="F155" s="511"/>
      <c r="G155" s="582"/>
      <c r="H155" s="511"/>
      <c r="I155" s="511"/>
      <c r="J155" s="582"/>
      <c r="K155" s="511"/>
      <c r="L155" s="511"/>
      <c r="M155" s="582"/>
      <c r="N155" s="582"/>
      <c r="O155" s="582"/>
      <c r="P155" s="582"/>
      <c r="Q155" s="511"/>
      <c r="R155" s="511"/>
      <c r="S155" s="511"/>
      <c r="T155" s="639"/>
      <c r="U155" s="511"/>
      <c r="V155" s="511"/>
      <c r="W155" s="511"/>
      <c r="X155" s="511"/>
      <c r="Y155" s="380"/>
      <c r="Z155" s="380"/>
      <c r="AA155" s="380"/>
      <c r="AB155" s="380"/>
      <c r="AC155" s="380"/>
      <c r="AD155" s="671"/>
      <c r="AE155" s="380"/>
      <c r="AF155" s="380"/>
      <c r="AG155" s="380"/>
      <c r="AH155" s="671"/>
      <c r="AI155" s="380"/>
      <c r="AJ155" s="583"/>
      <c r="AK155" s="583"/>
      <c r="AL155" s="511"/>
      <c r="AM155" s="584"/>
      <c r="AN155" s="584"/>
      <c r="AO155" s="584"/>
      <c r="AP155" s="671"/>
      <c r="AQ155" s="584"/>
      <c r="AR155" s="583"/>
      <c r="AS155" s="583"/>
      <c r="AT155" s="585"/>
      <c r="AU155" s="585"/>
      <c r="AV155" s="585"/>
      <c r="AW155" s="585"/>
      <c r="AX155" s="673"/>
      <c r="AY155" s="380"/>
      <c r="AZ155" s="380"/>
      <c r="BA155" s="380"/>
      <c r="BB155" s="380"/>
      <c r="BC155" s="380"/>
      <c r="BD155" s="380"/>
      <c r="BE155" s="380"/>
      <c r="BF155" s="380"/>
      <c r="BG155" s="380"/>
      <c r="BH155" s="380"/>
      <c r="BI155" s="511"/>
      <c r="BJ155" s="380"/>
      <c r="BK155" s="380"/>
      <c r="BL155" s="380"/>
      <c r="BM155" s="380"/>
      <c r="BN155" s="380"/>
      <c r="BO155" s="380"/>
      <c r="BP155" s="380"/>
      <c r="BQ155" s="380"/>
      <c r="BR155" s="380"/>
    </row>
    <row r="156" spans="1:70" ht="12.75" customHeight="1" x14ac:dyDescent="0.25">
      <c r="A156" s="380"/>
      <c r="B156" s="380"/>
      <c r="C156" s="380"/>
      <c r="D156" s="380"/>
      <c r="E156" s="511"/>
      <c r="F156" s="511"/>
      <c r="G156" s="582"/>
      <c r="H156" s="511"/>
      <c r="I156" s="511"/>
      <c r="J156" s="582"/>
      <c r="K156" s="511"/>
      <c r="L156" s="511"/>
      <c r="M156" s="582"/>
      <c r="N156" s="582"/>
      <c r="O156" s="582"/>
      <c r="P156" s="582"/>
      <c r="Q156" s="511"/>
      <c r="R156" s="511"/>
      <c r="S156" s="511"/>
      <c r="T156" s="639"/>
      <c r="U156" s="511"/>
      <c r="V156" s="511"/>
      <c r="W156" s="511"/>
      <c r="X156" s="511"/>
      <c r="Y156" s="380"/>
      <c r="Z156" s="380"/>
      <c r="AA156" s="380"/>
      <c r="AB156" s="380"/>
      <c r="AC156" s="380"/>
      <c r="AD156" s="671"/>
      <c r="AE156" s="380"/>
      <c r="AF156" s="380"/>
      <c r="AG156" s="380"/>
      <c r="AH156" s="671"/>
      <c r="AI156" s="380"/>
      <c r="AJ156" s="583"/>
      <c r="AK156" s="583"/>
      <c r="AL156" s="511"/>
      <c r="AM156" s="584"/>
      <c r="AN156" s="584"/>
      <c r="AO156" s="584"/>
      <c r="AP156" s="671"/>
      <c r="AQ156" s="584"/>
      <c r="AR156" s="583"/>
      <c r="AS156" s="583"/>
      <c r="AT156" s="585"/>
      <c r="AU156" s="585"/>
      <c r="AV156" s="585"/>
      <c r="AW156" s="585"/>
      <c r="AX156" s="673"/>
      <c r="AY156" s="380"/>
      <c r="AZ156" s="380"/>
      <c r="BA156" s="380"/>
      <c r="BB156" s="380"/>
      <c r="BC156" s="380"/>
      <c r="BD156" s="380"/>
      <c r="BE156" s="380"/>
      <c r="BF156" s="380"/>
      <c r="BG156" s="380"/>
      <c r="BH156" s="380"/>
      <c r="BI156" s="511"/>
      <c r="BJ156" s="380"/>
      <c r="BK156" s="380"/>
      <c r="BL156" s="380"/>
      <c r="BM156" s="380"/>
      <c r="BN156" s="380"/>
      <c r="BO156" s="380"/>
      <c r="BP156" s="380"/>
      <c r="BQ156" s="380"/>
      <c r="BR156" s="380"/>
    </row>
    <row r="157" spans="1:70" ht="12.75" customHeight="1" x14ac:dyDescent="0.25">
      <c r="A157" s="380"/>
      <c r="B157" s="380"/>
      <c r="C157" s="380"/>
      <c r="D157" s="380"/>
      <c r="E157" s="511"/>
      <c r="F157" s="511"/>
      <c r="G157" s="582"/>
      <c r="H157" s="511"/>
      <c r="I157" s="511"/>
      <c r="J157" s="582"/>
      <c r="K157" s="511"/>
      <c r="L157" s="511"/>
      <c r="M157" s="582"/>
      <c r="N157" s="582"/>
      <c r="O157" s="582"/>
      <c r="P157" s="582"/>
      <c r="Q157" s="511"/>
      <c r="R157" s="511"/>
      <c r="S157" s="511"/>
      <c r="T157" s="639"/>
      <c r="U157" s="511"/>
      <c r="V157" s="511"/>
      <c r="W157" s="511"/>
      <c r="X157" s="511"/>
      <c r="Y157" s="380"/>
      <c r="Z157" s="380"/>
      <c r="AA157" s="380"/>
      <c r="AB157" s="380"/>
      <c r="AC157" s="380"/>
      <c r="AD157" s="671"/>
      <c r="AE157" s="380"/>
      <c r="AF157" s="380"/>
      <c r="AG157" s="380"/>
      <c r="AH157" s="671"/>
      <c r="AI157" s="380"/>
      <c r="AJ157" s="583"/>
      <c r="AK157" s="583"/>
      <c r="AL157" s="511"/>
      <c r="AM157" s="584"/>
      <c r="AN157" s="584"/>
      <c r="AO157" s="584"/>
      <c r="AP157" s="671"/>
      <c r="AQ157" s="584"/>
      <c r="AR157" s="583"/>
      <c r="AS157" s="583"/>
      <c r="AT157" s="585"/>
      <c r="AU157" s="585"/>
      <c r="AV157" s="585"/>
      <c r="AW157" s="585"/>
      <c r="AX157" s="673"/>
      <c r="AY157" s="380"/>
      <c r="AZ157" s="380"/>
      <c r="BA157" s="380"/>
      <c r="BB157" s="380"/>
      <c r="BC157" s="380"/>
      <c r="BD157" s="380"/>
      <c r="BE157" s="380"/>
      <c r="BF157" s="380"/>
      <c r="BG157" s="380"/>
      <c r="BH157" s="380"/>
      <c r="BI157" s="511"/>
      <c r="BJ157" s="380"/>
      <c r="BK157" s="380"/>
      <c r="BL157" s="380"/>
      <c r="BM157" s="380"/>
      <c r="BN157" s="380"/>
      <c r="BO157" s="380"/>
      <c r="BP157" s="380"/>
      <c r="BQ157" s="380"/>
      <c r="BR157" s="380"/>
    </row>
    <row r="158" spans="1:70" ht="12.75" customHeight="1" x14ac:dyDescent="0.25">
      <c r="A158" s="380"/>
      <c r="B158" s="380"/>
      <c r="C158" s="380"/>
      <c r="D158" s="380"/>
      <c r="E158" s="511"/>
      <c r="F158" s="511"/>
      <c r="G158" s="582"/>
      <c r="H158" s="511"/>
      <c r="I158" s="511"/>
      <c r="J158" s="582"/>
      <c r="K158" s="511"/>
      <c r="L158" s="511"/>
      <c r="M158" s="582"/>
      <c r="N158" s="582"/>
      <c r="O158" s="582"/>
      <c r="P158" s="582"/>
      <c r="Q158" s="511"/>
      <c r="R158" s="511"/>
      <c r="S158" s="511"/>
      <c r="T158" s="639"/>
      <c r="U158" s="511"/>
      <c r="V158" s="511"/>
      <c r="W158" s="511"/>
      <c r="X158" s="511"/>
      <c r="Y158" s="380"/>
      <c r="Z158" s="380"/>
      <c r="AA158" s="380"/>
      <c r="AB158" s="380"/>
      <c r="AC158" s="380"/>
      <c r="AD158" s="671"/>
      <c r="AE158" s="380"/>
      <c r="AF158" s="380"/>
      <c r="AG158" s="380"/>
      <c r="AH158" s="671"/>
      <c r="AI158" s="380"/>
      <c r="AJ158" s="583"/>
      <c r="AK158" s="583"/>
      <c r="AL158" s="511"/>
      <c r="AM158" s="584"/>
      <c r="AN158" s="584"/>
      <c r="AO158" s="584"/>
      <c r="AP158" s="671"/>
      <c r="AQ158" s="584"/>
      <c r="AR158" s="583"/>
      <c r="AS158" s="583"/>
      <c r="AT158" s="585"/>
      <c r="AU158" s="585"/>
      <c r="AV158" s="585"/>
      <c r="AW158" s="585"/>
      <c r="AX158" s="673"/>
      <c r="AY158" s="380"/>
      <c r="AZ158" s="380"/>
      <c r="BA158" s="380"/>
      <c r="BB158" s="380"/>
      <c r="BC158" s="380"/>
      <c r="BD158" s="380"/>
      <c r="BE158" s="380"/>
      <c r="BF158" s="380"/>
      <c r="BG158" s="380"/>
      <c r="BH158" s="380"/>
      <c r="BI158" s="511"/>
      <c r="BJ158" s="380"/>
      <c r="BK158" s="380"/>
      <c r="BL158" s="380"/>
      <c r="BM158" s="380"/>
      <c r="BN158" s="380"/>
      <c r="BO158" s="380"/>
      <c r="BP158" s="380"/>
      <c r="BQ158" s="380"/>
      <c r="BR158" s="380"/>
    </row>
    <row r="159" spans="1:70" ht="12.75" customHeight="1" x14ac:dyDescent="0.25">
      <c r="A159" s="380"/>
      <c r="B159" s="380"/>
      <c r="C159" s="380"/>
      <c r="D159" s="380"/>
      <c r="E159" s="511"/>
      <c r="F159" s="511"/>
      <c r="G159" s="582"/>
      <c r="H159" s="511"/>
      <c r="I159" s="511"/>
      <c r="J159" s="582"/>
      <c r="K159" s="511"/>
      <c r="L159" s="511"/>
      <c r="M159" s="582"/>
      <c r="N159" s="582"/>
      <c r="O159" s="582"/>
      <c r="P159" s="582"/>
      <c r="Q159" s="511"/>
      <c r="R159" s="511"/>
      <c r="S159" s="511"/>
      <c r="T159" s="639"/>
      <c r="U159" s="511"/>
      <c r="V159" s="511"/>
      <c r="W159" s="511"/>
      <c r="X159" s="511"/>
      <c r="Y159" s="380"/>
      <c r="Z159" s="380"/>
      <c r="AA159" s="380"/>
      <c r="AB159" s="380"/>
      <c r="AC159" s="380"/>
      <c r="AD159" s="671"/>
      <c r="AE159" s="380"/>
      <c r="AF159" s="380"/>
      <c r="AG159" s="380"/>
      <c r="AH159" s="671"/>
      <c r="AI159" s="380"/>
      <c r="AJ159" s="583"/>
      <c r="AK159" s="583"/>
      <c r="AL159" s="511"/>
      <c r="AM159" s="584"/>
      <c r="AN159" s="584"/>
      <c r="AO159" s="584"/>
      <c r="AP159" s="671"/>
      <c r="AQ159" s="584"/>
      <c r="AR159" s="583"/>
      <c r="AS159" s="583"/>
      <c r="AT159" s="585"/>
      <c r="AU159" s="585"/>
      <c r="AV159" s="585"/>
      <c r="AW159" s="585"/>
      <c r="AX159" s="673"/>
      <c r="AY159" s="380"/>
      <c r="AZ159" s="380"/>
      <c r="BA159" s="380"/>
      <c r="BB159" s="380"/>
      <c r="BC159" s="380"/>
      <c r="BD159" s="380"/>
      <c r="BE159" s="380"/>
      <c r="BF159" s="380"/>
      <c r="BG159" s="380"/>
      <c r="BH159" s="380"/>
      <c r="BI159" s="511"/>
      <c r="BJ159" s="380"/>
      <c r="BK159" s="380"/>
      <c r="BL159" s="380"/>
      <c r="BM159" s="380"/>
      <c r="BN159" s="380"/>
      <c r="BO159" s="380"/>
      <c r="BP159" s="380"/>
      <c r="BQ159" s="380"/>
      <c r="BR159" s="380"/>
    </row>
    <row r="160" spans="1:70" ht="12.75" customHeight="1" x14ac:dyDescent="0.25">
      <c r="A160" s="380"/>
      <c r="B160" s="380"/>
      <c r="C160" s="380"/>
      <c r="D160" s="380"/>
      <c r="E160" s="511"/>
      <c r="F160" s="511"/>
      <c r="G160" s="582"/>
      <c r="H160" s="511"/>
      <c r="I160" s="511"/>
      <c r="J160" s="582"/>
      <c r="K160" s="511"/>
      <c r="L160" s="511"/>
      <c r="M160" s="582"/>
      <c r="N160" s="582"/>
      <c r="O160" s="582"/>
      <c r="P160" s="582"/>
      <c r="Q160" s="511"/>
      <c r="R160" s="511"/>
      <c r="S160" s="511"/>
      <c r="T160" s="639"/>
      <c r="U160" s="511"/>
      <c r="V160" s="511"/>
      <c r="W160" s="511"/>
      <c r="X160" s="511"/>
      <c r="Y160" s="380"/>
      <c r="Z160" s="380"/>
      <c r="AA160" s="380"/>
      <c r="AB160" s="380"/>
      <c r="AC160" s="380"/>
      <c r="AD160" s="671"/>
      <c r="AE160" s="380"/>
      <c r="AF160" s="380"/>
      <c r="AG160" s="380"/>
      <c r="AH160" s="671"/>
      <c r="AI160" s="380"/>
      <c r="AJ160" s="583"/>
      <c r="AK160" s="583"/>
      <c r="AL160" s="511"/>
      <c r="AM160" s="584"/>
      <c r="AN160" s="584"/>
      <c r="AO160" s="584"/>
      <c r="AP160" s="671"/>
      <c r="AQ160" s="584"/>
      <c r="AR160" s="583"/>
      <c r="AS160" s="583"/>
      <c r="AT160" s="585"/>
      <c r="AU160" s="585"/>
      <c r="AV160" s="585"/>
      <c r="AW160" s="585"/>
      <c r="AX160" s="673"/>
      <c r="AY160" s="380"/>
      <c r="AZ160" s="380"/>
      <c r="BA160" s="380"/>
      <c r="BB160" s="380"/>
      <c r="BC160" s="380"/>
      <c r="BD160" s="380"/>
      <c r="BE160" s="380"/>
      <c r="BF160" s="380"/>
      <c r="BG160" s="380"/>
      <c r="BH160" s="380"/>
      <c r="BI160" s="511"/>
      <c r="BJ160" s="380"/>
      <c r="BK160" s="380"/>
      <c r="BL160" s="380"/>
      <c r="BM160" s="380"/>
      <c r="BN160" s="380"/>
      <c r="BO160" s="380"/>
      <c r="BP160" s="380"/>
      <c r="BQ160" s="380"/>
      <c r="BR160" s="380"/>
    </row>
    <row r="161" spans="1:70" ht="12.75" customHeight="1" x14ac:dyDescent="0.25">
      <c r="A161" s="380"/>
      <c r="B161" s="380"/>
      <c r="C161" s="380"/>
      <c r="D161" s="380"/>
      <c r="E161" s="511"/>
      <c r="F161" s="511"/>
      <c r="G161" s="582"/>
      <c r="H161" s="511"/>
      <c r="I161" s="511"/>
      <c r="J161" s="582"/>
      <c r="K161" s="511"/>
      <c r="L161" s="511"/>
      <c r="M161" s="582"/>
      <c r="N161" s="582"/>
      <c r="O161" s="582"/>
      <c r="P161" s="582"/>
      <c r="Q161" s="511"/>
      <c r="R161" s="511"/>
      <c r="S161" s="511"/>
      <c r="T161" s="639"/>
      <c r="U161" s="511"/>
      <c r="V161" s="511"/>
      <c r="W161" s="511"/>
      <c r="X161" s="511"/>
      <c r="Y161" s="380"/>
      <c r="Z161" s="380"/>
      <c r="AA161" s="380"/>
      <c r="AB161" s="380"/>
      <c r="AC161" s="380"/>
      <c r="AD161" s="671"/>
      <c r="AE161" s="380"/>
      <c r="AF161" s="380"/>
      <c r="AG161" s="380"/>
      <c r="AH161" s="671"/>
      <c r="AI161" s="380"/>
      <c r="AJ161" s="583"/>
      <c r="AK161" s="583"/>
      <c r="AL161" s="511"/>
      <c r="AM161" s="584"/>
      <c r="AN161" s="584"/>
      <c r="AO161" s="584"/>
      <c r="AP161" s="671"/>
      <c r="AQ161" s="584"/>
      <c r="AR161" s="583"/>
      <c r="AS161" s="583"/>
      <c r="AT161" s="585"/>
      <c r="AU161" s="585"/>
      <c r="AV161" s="585"/>
      <c r="AW161" s="585"/>
      <c r="AX161" s="673"/>
      <c r="AY161" s="380"/>
      <c r="AZ161" s="380"/>
      <c r="BA161" s="380"/>
      <c r="BB161" s="380"/>
      <c r="BC161" s="380"/>
      <c r="BD161" s="380"/>
      <c r="BE161" s="380"/>
      <c r="BF161" s="380"/>
      <c r="BG161" s="380"/>
      <c r="BH161" s="380"/>
      <c r="BI161" s="511"/>
      <c r="BJ161" s="380"/>
      <c r="BK161" s="380"/>
      <c r="BL161" s="380"/>
      <c r="BM161" s="380"/>
      <c r="BN161" s="380"/>
      <c r="BO161" s="380"/>
      <c r="BP161" s="380"/>
      <c r="BQ161" s="380"/>
      <c r="BR161" s="380"/>
    </row>
    <row r="162" spans="1:70" ht="12.75" customHeight="1" x14ac:dyDescent="0.25">
      <c r="A162" s="380"/>
      <c r="B162" s="380"/>
      <c r="C162" s="380"/>
      <c r="D162" s="380"/>
      <c r="E162" s="511"/>
      <c r="F162" s="511"/>
      <c r="G162" s="582"/>
      <c r="H162" s="511"/>
      <c r="I162" s="511"/>
      <c r="J162" s="582"/>
      <c r="K162" s="511"/>
      <c r="L162" s="511"/>
      <c r="M162" s="582"/>
      <c r="N162" s="582"/>
      <c r="O162" s="582"/>
      <c r="P162" s="582"/>
      <c r="Q162" s="511"/>
      <c r="R162" s="511"/>
      <c r="S162" s="511"/>
      <c r="T162" s="639"/>
      <c r="U162" s="511"/>
      <c r="V162" s="511"/>
      <c r="W162" s="511"/>
      <c r="X162" s="511"/>
      <c r="Y162" s="380"/>
      <c r="Z162" s="380"/>
      <c r="AA162" s="380"/>
      <c r="AB162" s="380"/>
      <c r="AC162" s="380"/>
      <c r="AD162" s="671"/>
      <c r="AE162" s="380"/>
      <c r="AF162" s="380"/>
      <c r="AG162" s="380"/>
      <c r="AH162" s="671"/>
      <c r="AI162" s="380"/>
      <c r="AJ162" s="583"/>
      <c r="AK162" s="583"/>
      <c r="AL162" s="511"/>
      <c r="AM162" s="584"/>
      <c r="AN162" s="584"/>
      <c r="AO162" s="584"/>
      <c r="AP162" s="671"/>
      <c r="AQ162" s="584"/>
      <c r="AR162" s="583"/>
      <c r="AS162" s="583"/>
      <c r="AT162" s="585"/>
      <c r="AU162" s="585"/>
      <c r="AV162" s="585"/>
      <c r="AW162" s="585"/>
      <c r="AX162" s="673"/>
      <c r="AY162" s="380"/>
      <c r="AZ162" s="380"/>
      <c r="BA162" s="380"/>
      <c r="BB162" s="380"/>
      <c r="BC162" s="380"/>
      <c r="BD162" s="380"/>
      <c r="BE162" s="380"/>
      <c r="BF162" s="380"/>
      <c r="BG162" s="380"/>
      <c r="BH162" s="380"/>
      <c r="BI162" s="511"/>
      <c r="BJ162" s="380"/>
      <c r="BK162" s="380"/>
      <c r="BL162" s="380"/>
      <c r="BM162" s="380"/>
      <c r="BN162" s="380"/>
      <c r="BO162" s="380"/>
      <c r="BP162" s="380"/>
      <c r="BQ162" s="380"/>
      <c r="BR162" s="380"/>
    </row>
    <row r="163" spans="1:70" ht="12.75" customHeight="1" x14ac:dyDescent="0.25">
      <c r="A163" s="380"/>
      <c r="B163" s="380"/>
      <c r="C163" s="380"/>
      <c r="D163" s="380"/>
      <c r="E163" s="511"/>
      <c r="F163" s="511"/>
      <c r="G163" s="582"/>
      <c r="H163" s="511"/>
      <c r="I163" s="511"/>
      <c r="J163" s="582"/>
      <c r="K163" s="511"/>
      <c r="L163" s="511"/>
      <c r="M163" s="582"/>
      <c r="N163" s="582"/>
      <c r="O163" s="582"/>
      <c r="P163" s="582"/>
      <c r="Q163" s="511"/>
      <c r="R163" s="511"/>
      <c r="S163" s="511"/>
      <c r="T163" s="639"/>
      <c r="U163" s="511"/>
      <c r="V163" s="511"/>
      <c r="W163" s="511"/>
      <c r="X163" s="511"/>
      <c r="Y163" s="380"/>
      <c r="Z163" s="380"/>
      <c r="AA163" s="380"/>
      <c r="AB163" s="380"/>
      <c r="AC163" s="380"/>
      <c r="AD163" s="671"/>
      <c r="AE163" s="380"/>
      <c r="AF163" s="380"/>
      <c r="AG163" s="380"/>
      <c r="AH163" s="671"/>
      <c r="AI163" s="380"/>
      <c r="AJ163" s="583"/>
      <c r="AK163" s="583"/>
      <c r="AL163" s="511"/>
      <c r="AM163" s="584"/>
      <c r="AN163" s="584"/>
      <c r="AO163" s="584"/>
      <c r="AP163" s="671"/>
      <c r="AQ163" s="584"/>
      <c r="AR163" s="583"/>
      <c r="AS163" s="583"/>
      <c r="AT163" s="585"/>
      <c r="AU163" s="585"/>
      <c r="AV163" s="585"/>
      <c r="AW163" s="585"/>
      <c r="AX163" s="673"/>
      <c r="AY163" s="380"/>
      <c r="AZ163" s="380"/>
      <c r="BA163" s="380"/>
      <c r="BB163" s="380"/>
      <c r="BC163" s="380"/>
      <c r="BD163" s="380"/>
      <c r="BE163" s="380"/>
      <c r="BF163" s="380"/>
      <c r="BG163" s="380"/>
      <c r="BH163" s="380"/>
      <c r="BI163" s="511"/>
      <c r="BJ163" s="380"/>
      <c r="BK163" s="380"/>
      <c r="BL163" s="380"/>
      <c r="BM163" s="380"/>
      <c r="BN163" s="380"/>
      <c r="BO163" s="380"/>
      <c r="BP163" s="380"/>
      <c r="BQ163" s="380"/>
      <c r="BR163" s="380"/>
    </row>
    <row r="164" spans="1:70" ht="12.75" customHeight="1" x14ac:dyDescent="0.25">
      <c r="A164" s="380"/>
      <c r="B164" s="380"/>
      <c r="C164" s="380"/>
      <c r="D164" s="380"/>
      <c r="E164" s="511"/>
      <c r="F164" s="511"/>
      <c r="G164" s="582"/>
      <c r="H164" s="511"/>
      <c r="I164" s="511"/>
      <c r="J164" s="582"/>
      <c r="K164" s="511"/>
      <c r="L164" s="511"/>
      <c r="M164" s="582"/>
      <c r="N164" s="582"/>
      <c r="O164" s="582"/>
      <c r="P164" s="582"/>
      <c r="Q164" s="511"/>
      <c r="R164" s="511"/>
      <c r="S164" s="511"/>
      <c r="T164" s="639"/>
      <c r="U164" s="511"/>
      <c r="V164" s="511"/>
      <c r="W164" s="511"/>
      <c r="X164" s="511"/>
      <c r="Y164" s="380"/>
      <c r="Z164" s="380"/>
      <c r="AA164" s="380"/>
      <c r="AB164" s="380"/>
      <c r="AC164" s="380"/>
      <c r="AD164" s="671"/>
      <c r="AE164" s="380"/>
      <c r="AF164" s="380"/>
      <c r="AG164" s="380"/>
      <c r="AH164" s="671"/>
      <c r="AI164" s="380"/>
      <c r="AJ164" s="583"/>
      <c r="AK164" s="583"/>
      <c r="AL164" s="511"/>
      <c r="AM164" s="584"/>
      <c r="AN164" s="584"/>
      <c r="AO164" s="584"/>
      <c r="AP164" s="671"/>
      <c r="AQ164" s="584"/>
      <c r="AR164" s="583"/>
      <c r="AS164" s="583"/>
      <c r="AT164" s="585"/>
      <c r="AU164" s="585"/>
      <c r="AV164" s="585"/>
      <c r="AW164" s="585"/>
      <c r="AX164" s="673"/>
      <c r="AY164" s="380"/>
      <c r="AZ164" s="380"/>
      <c r="BA164" s="380"/>
      <c r="BB164" s="380"/>
      <c r="BC164" s="380"/>
      <c r="BD164" s="380"/>
      <c r="BE164" s="380"/>
      <c r="BF164" s="380"/>
      <c r="BG164" s="380"/>
      <c r="BH164" s="380"/>
      <c r="BI164" s="511"/>
      <c r="BJ164" s="380"/>
      <c r="BK164" s="380"/>
      <c r="BL164" s="380"/>
      <c r="BM164" s="380"/>
      <c r="BN164" s="380"/>
      <c r="BO164" s="380"/>
      <c r="BP164" s="380"/>
      <c r="BQ164" s="380"/>
      <c r="BR164" s="380"/>
    </row>
    <row r="165" spans="1:70" ht="12.75" customHeight="1" x14ac:dyDescent="0.25">
      <c r="A165" s="380"/>
      <c r="B165" s="380"/>
      <c r="C165" s="380"/>
      <c r="D165" s="380"/>
      <c r="E165" s="511"/>
      <c r="F165" s="511"/>
      <c r="G165" s="582"/>
      <c r="H165" s="511"/>
      <c r="I165" s="511"/>
      <c r="J165" s="582"/>
      <c r="K165" s="511"/>
      <c r="L165" s="511"/>
      <c r="M165" s="582"/>
      <c r="N165" s="582"/>
      <c r="O165" s="582"/>
      <c r="P165" s="582"/>
      <c r="Q165" s="511"/>
      <c r="R165" s="511"/>
      <c r="S165" s="511"/>
      <c r="T165" s="639"/>
      <c r="U165" s="511"/>
      <c r="V165" s="511"/>
      <c r="W165" s="511"/>
      <c r="X165" s="511"/>
      <c r="Y165" s="380"/>
      <c r="Z165" s="380"/>
      <c r="AA165" s="380"/>
      <c r="AB165" s="380"/>
      <c r="AC165" s="380"/>
      <c r="AD165" s="671"/>
      <c r="AE165" s="380"/>
      <c r="AF165" s="380"/>
      <c r="AG165" s="380"/>
      <c r="AH165" s="671"/>
      <c r="AI165" s="380"/>
      <c r="AJ165" s="583"/>
      <c r="AK165" s="583"/>
      <c r="AL165" s="511"/>
      <c r="AM165" s="584"/>
      <c r="AN165" s="584"/>
      <c r="AO165" s="584"/>
      <c r="AP165" s="671"/>
      <c r="AQ165" s="584"/>
      <c r="AR165" s="583"/>
      <c r="AS165" s="583"/>
      <c r="AT165" s="585"/>
      <c r="AU165" s="585"/>
      <c r="AV165" s="585"/>
      <c r="AW165" s="585"/>
      <c r="AX165" s="673"/>
      <c r="AY165" s="380"/>
      <c r="AZ165" s="380"/>
      <c r="BA165" s="380"/>
      <c r="BB165" s="380"/>
      <c r="BC165" s="380"/>
      <c r="BD165" s="380"/>
      <c r="BE165" s="380"/>
      <c r="BF165" s="380"/>
      <c r="BG165" s="380"/>
      <c r="BH165" s="380"/>
      <c r="BI165" s="511"/>
      <c r="BJ165" s="380"/>
      <c r="BK165" s="380"/>
      <c r="BL165" s="380"/>
      <c r="BM165" s="380"/>
      <c r="BN165" s="380"/>
      <c r="BO165" s="380"/>
      <c r="BP165" s="380"/>
      <c r="BQ165" s="380"/>
      <c r="BR165" s="380"/>
    </row>
    <row r="166" spans="1:70" ht="12.75" customHeight="1" x14ac:dyDescent="0.25">
      <c r="A166" s="380"/>
      <c r="B166" s="380"/>
      <c r="C166" s="380"/>
      <c r="D166" s="380"/>
      <c r="E166" s="511"/>
      <c r="F166" s="511"/>
      <c r="G166" s="582"/>
      <c r="H166" s="511"/>
      <c r="I166" s="511"/>
      <c r="J166" s="582"/>
      <c r="K166" s="511"/>
      <c r="L166" s="511"/>
      <c r="M166" s="582"/>
      <c r="N166" s="582"/>
      <c r="O166" s="582"/>
      <c r="P166" s="582"/>
      <c r="Q166" s="511"/>
      <c r="R166" s="511"/>
      <c r="S166" s="511"/>
      <c r="T166" s="639"/>
      <c r="U166" s="511"/>
      <c r="V166" s="511"/>
      <c r="W166" s="511"/>
      <c r="X166" s="511"/>
      <c r="Y166" s="380"/>
      <c r="Z166" s="380"/>
      <c r="AA166" s="380"/>
      <c r="AB166" s="380"/>
      <c r="AC166" s="380"/>
      <c r="AD166" s="671"/>
      <c r="AE166" s="380"/>
      <c r="AF166" s="380"/>
      <c r="AG166" s="380"/>
      <c r="AH166" s="671"/>
      <c r="AI166" s="380"/>
      <c r="AJ166" s="583"/>
      <c r="AK166" s="583"/>
      <c r="AL166" s="511"/>
      <c r="AM166" s="584"/>
      <c r="AN166" s="584"/>
      <c r="AO166" s="584"/>
      <c r="AP166" s="671"/>
      <c r="AQ166" s="584"/>
      <c r="AR166" s="583"/>
      <c r="AS166" s="583"/>
      <c r="AT166" s="585"/>
      <c r="AU166" s="585"/>
      <c r="AV166" s="585"/>
      <c r="AW166" s="585"/>
      <c r="AX166" s="673"/>
      <c r="AY166" s="380"/>
      <c r="AZ166" s="380"/>
      <c r="BA166" s="380"/>
      <c r="BB166" s="380"/>
      <c r="BC166" s="380"/>
      <c r="BD166" s="380"/>
      <c r="BE166" s="380"/>
      <c r="BF166" s="380"/>
      <c r="BG166" s="380"/>
      <c r="BH166" s="380"/>
      <c r="BI166" s="511"/>
      <c r="BJ166" s="380"/>
      <c r="BK166" s="380"/>
      <c r="BL166" s="380"/>
      <c r="BM166" s="380"/>
      <c r="BN166" s="380"/>
      <c r="BO166" s="380"/>
      <c r="BP166" s="380"/>
      <c r="BQ166" s="380"/>
      <c r="BR166" s="380"/>
    </row>
    <row r="167" spans="1:70" ht="12.75" customHeight="1" x14ac:dyDescent="0.25">
      <c r="A167" s="380"/>
      <c r="B167" s="380"/>
      <c r="C167" s="380"/>
      <c r="D167" s="380"/>
      <c r="E167" s="511"/>
      <c r="F167" s="511"/>
      <c r="G167" s="582"/>
      <c r="H167" s="511"/>
      <c r="I167" s="511"/>
      <c r="J167" s="582"/>
      <c r="K167" s="511"/>
      <c r="L167" s="511"/>
      <c r="M167" s="582"/>
      <c r="N167" s="582"/>
      <c r="O167" s="582"/>
      <c r="P167" s="582"/>
      <c r="Q167" s="511"/>
      <c r="R167" s="511"/>
      <c r="S167" s="511"/>
      <c r="T167" s="639"/>
      <c r="U167" s="511"/>
      <c r="V167" s="511"/>
      <c r="W167" s="511"/>
      <c r="X167" s="511"/>
      <c r="Y167" s="380"/>
      <c r="Z167" s="380"/>
      <c r="AA167" s="380"/>
      <c r="AB167" s="380"/>
      <c r="AC167" s="380"/>
      <c r="AD167" s="671"/>
      <c r="AE167" s="380"/>
      <c r="AF167" s="380"/>
      <c r="AG167" s="380"/>
      <c r="AH167" s="671"/>
      <c r="AI167" s="380"/>
      <c r="AJ167" s="583"/>
      <c r="AK167" s="583"/>
      <c r="AL167" s="511"/>
      <c r="AM167" s="584"/>
      <c r="AN167" s="584"/>
      <c r="AO167" s="584"/>
      <c r="AP167" s="671"/>
      <c r="AQ167" s="584"/>
      <c r="AR167" s="583"/>
      <c r="AS167" s="583"/>
      <c r="AT167" s="585"/>
      <c r="AU167" s="585"/>
      <c r="AV167" s="585"/>
      <c r="AW167" s="585"/>
      <c r="AX167" s="673"/>
      <c r="AY167" s="380"/>
      <c r="AZ167" s="380"/>
      <c r="BA167" s="380"/>
      <c r="BB167" s="380"/>
      <c r="BC167" s="380"/>
      <c r="BD167" s="380"/>
      <c r="BE167" s="380"/>
      <c r="BF167" s="380"/>
      <c r="BG167" s="380"/>
      <c r="BH167" s="380"/>
      <c r="BI167" s="511"/>
      <c r="BJ167" s="380"/>
      <c r="BK167" s="380"/>
      <c r="BL167" s="380"/>
      <c r="BM167" s="380"/>
      <c r="BN167" s="380"/>
      <c r="BO167" s="380"/>
      <c r="BP167" s="380"/>
      <c r="BQ167" s="380"/>
      <c r="BR167" s="380"/>
    </row>
    <row r="168" spans="1:70" ht="12.75" customHeight="1" x14ac:dyDescent="0.25">
      <c r="A168" s="380"/>
      <c r="B168" s="380"/>
      <c r="C168" s="380"/>
      <c r="D168" s="380"/>
      <c r="E168" s="511"/>
      <c r="F168" s="511"/>
      <c r="G168" s="582"/>
      <c r="H168" s="511"/>
      <c r="I168" s="511"/>
      <c r="J168" s="582"/>
      <c r="K168" s="511"/>
      <c r="L168" s="511"/>
      <c r="M168" s="582"/>
      <c r="N168" s="582"/>
      <c r="O168" s="582"/>
      <c r="P168" s="582"/>
      <c r="Q168" s="511"/>
      <c r="R168" s="511"/>
      <c r="S168" s="511"/>
      <c r="T168" s="639"/>
      <c r="U168" s="511"/>
      <c r="V168" s="511"/>
      <c r="W168" s="511"/>
      <c r="X168" s="511"/>
      <c r="Y168" s="380"/>
      <c r="Z168" s="380"/>
      <c r="AA168" s="380"/>
      <c r="AB168" s="380"/>
      <c r="AC168" s="380"/>
      <c r="AD168" s="671"/>
      <c r="AE168" s="380"/>
      <c r="AF168" s="380"/>
      <c r="AG168" s="380"/>
      <c r="AH168" s="671"/>
      <c r="AI168" s="380"/>
      <c r="AJ168" s="583"/>
      <c r="AK168" s="583"/>
      <c r="AL168" s="511"/>
      <c r="AM168" s="584"/>
      <c r="AN168" s="584"/>
      <c r="AO168" s="584"/>
      <c r="AP168" s="671"/>
      <c r="AQ168" s="584"/>
      <c r="AR168" s="583"/>
      <c r="AS168" s="583"/>
      <c r="AT168" s="585"/>
      <c r="AU168" s="585"/>
      <c r="AV168" s="585"/>
      <c r="AW168" s="585"/>
      <c r="AX168" s="673"/>
      <c r="AY168" s="380"/>
      <c r="AZ168" s="380"/>
      <c r="BA168" s="380"/>
      <c r="BB168" s="380"/>
      <c r="BC168" s="380"/>
      <c r="BD168" s="380"/>
      <c r="BE168" s="380"/>
      <c r="BF168" s="380"/>
      <c r="BG168" s="380"/>
      <c r="BH168" s="380"/>
      <c r="BI168" s="511"/>
      <c r="BJ168" s="380"/>
      <c r="BK168" s="380"/>
      <c r="BL168" s="380"/>
      <c r="BM168" s="380"/>
      <c r="BN168" s="380"/>
      <c r="BO168" s="380"/>
      <c r="BP168" s="380"/>
      <c r="BQ168" s="380"/>
      <c r="BR168" s="380"/>
    </row>
    <row r="169" spans="1:70" ht="12.75" customHeight="1" x14ac:dyDescent="0.25">
      <c r="A169" s="380"/>
      <c r="B169" s="380"/>
      <c r="C169" s="380"/>
      <c r="D169" s="380"/>
      <c r="E169" s="511"/>
      <c r="F169" s="511"/>
      <c r="G169" s="582"/>
      <c r="H169" s="511"/>
      <c r="I169" s="511"/>
      <c r="J169" s="582"/>
      <c r="K169" s="511"/>
      <c r="L169" s="511"/>
      <c r="M169" s="582"/>
      <c r="N169" s="582"/>
      <c r="O169" s="582"/>
      <c r="P169" s="582"/>
      <c r="Q169" s="511"/>
      <c r="R169" s="511"/>
      <c r="S169" s="511"/>
      <c r="T169" s="639"/>
      <c r="U169" s="511"/>
      <c r="V169" s="511"/>
      <c r="W169" s="511"/>
      <c r="X169" s="511"/>
      <c r="Y169" s="380"/>
      <c r="Z169" s="380"/>
      <c r="AA169" s="380"/>
      <c r="AB169" s="380"/>
      <c r="AC169" s="380"/>
      <c r="AD169" s="671"/>
      <c r="AE169" s="380"/>
      <c r="AF169" s="380"/>
      <c r="AG169" s="380"/>
      <c r="AH169" s="671"/>
      <c r="AI169" s="380"/>
      <c r="AJ169" s="583"/>
      <c r="AK169" s="583"/>
      <c r="AL169" s="511"/>
      <c r="AM169" s="584"/>
      <c r="AN169" s="584"/>
      <c r="AO169" s="584"/>
      <c r="AP169" s="671"/>
      <c r="AQ169" s="584"/>
      <c r="AR169" s="583"/>
      <c r="AS169" s="583"/>
      <c r="AT169" s="585"/>
      <c r="AU169" s="585"/>
      <c r="AV169" s="585"/>
      <c r="AW169" s="585"/>
      <c r="AX169" s="673"/>
      <c r="AY169" s="380"/>
      <c r="AZ169" s="380"/>
      <c r="BA169" s="380"/>
      <c r="BB169" s="380"/>
      <c r="BC169" s="380"/>
      <c r="BD169" s="380"/>
      <c r="BE169" s="380"/>
      <c r="BF169" s="380"/>
      <c r="BG169" s="380"/>
      <c r="BH169" s="380"/>
      <c r="BI169" s="511"/>
      <c r="BJ169" s="380"/>
      <c r="BK169" s="380"/>
      <c r="BL169" s="380"/>
      <c r="BM169" s="380"/>
      <c r="BN169" s="380"/>
      <c r="BO169" s="380"/>
      <c r="BP169" s="380"/>
      <c r="BQ169" s="380"/>
      <c r="BR169" s="380"/>
    </row>
    <row r="170" spans="1:70" ht="12.75" customHeight="1" x14ac:dyDescent="0.25">
      <c r="A170" s="380"/>
      <c r="B170" s="380"/>
      <c r="C170" s="380"/>
      <c r="D170" s="380"/>
      <c r="E170" s="511"/>
      <c r="F170" s="511"/>
      <c r="G170" s="582"/>
      <c r="H170" s="511"/>
      <c r="I170" s="511"/>
      <c r="J170" s="582"/>
      <c r="K170" s="511"/>
      <c r="L170" s="511"/>
      <c r="M170" s="582"/>
      <c r="N170" s="582"/>
      <c r="O170" s="582"/>
      <c r="P170" s="582"/>
      <c r="Q170" s="511"/>
      <c r="R170" s="511"/>
      <c r="S170" s="511"/>
      <c r="T170" s="639"/>
      <c r="U170" s="511"/>
      <c r="V170" s="511"/>
      <c r="W170" s="511"/>
      <c r="X170" s="511"/>
      <c r="Y170" s="380"/>
      <c r="Z170" s="380"/>
      <c r="AA170" s="380"/>
      <c r="AB170" s="380"/>
      <c r="AC170" s="380"/>
      <c r="AD170" s="671"/>
      <c r="AE170" s="380"/>
      <c r="AF170" s="380"/>
      <c r="AG170" s="380"/>
      <c r="AH170" s="671"/>
      <c r="AI170" s="380"/>
      <c r="AJ170" s="583"/>
      <c r="AK170" s="583"/>
      <c r="AL170" s="511"/>
      <c r="AM170" s="584"/>
      <c r="AN170" s="584"/>
      <c r="AO170" s="584"/>
      <c r="AP170" s="671"/>
      <c r="AQ170" s="584"/>
      <c r="AR170" s="583"/>
      <c r="AS170" s="583"/>
      <c r="AT170" s="585"/>
      <c r="AU170" s="585"/>
      <c r="AV170" s="585"/>
      <c r="AW170" s="585"/>
      <c r="AX170" s="673"/>
      <c r="AY170" s="380"/>
      <c r="AZ170" s="380"/>
      <c r="BA170" s="380"/>
      <c r="BB170" s="380"/>
      <c r="BC170" s="380"/>
      <c r="BD170" s="380"/>
      <c r="BE170" s="380"/>
      <c r="BF170" s="380"/>
      <c r="BG170" s="380"/>
      <c r="BH170" s="380"/>
      <c r="BI170" s="511"/>
      <c r="BJ170" s="380"/>
      <c r="BK170" s="380"/>
      <c r="BL170" s="380"/>
      <c r="BM170" s="380"/>
      <c r="BN170" s="380"/>
      <c r="BO170" s="380"/>
      <c r="BP170" s="380"/>
      <c r="BQ170" s="380"/>
      <c r="BR170" s="380"/>
    </row>
    <row r="171" spans="1:70" ht="12.75" customHeight="1" x14ac:dyDescent="0.25">
      <c r="A171" s="380"/>
      <c r="B171" s="380"/>
      <c r="C171" s="380"/>
      <c r="D171" s="380"/>
      <c r="E171" s="511"/>
      <c r="F171" s="511"/>
      <c r="G171" s="582"/>
      <c r="H171" s="511"/>
      <c r="I171" s="511"/>
      <c r="J171" s="582"/>
      <c r="K171" s="511"/>
      <c r="L171" s="511"/>
      <c r="M171" s="582"/>
      <c r="N171" s="582"/>
      <c r="O171" s="582"/>
      <c r="P171" s="582"/>
      <c r="Q171" s="511"/>
      <c r="R171" s="511"/>
      <c r="S171" s="511"/>
      <c r="T171" s="639"/>
      <c r="U171" s="511"/>
      <c r="V171" s="511"/>
      <c r="W171" s="511"/>
      <c r="X171" s="511"/>
      <c r="Y171" s="380"/>
      <c r="Z171" s="380"/>
      <c r="AA171" s="380"/>
      <c r="AB171" s="380"/>
      <c r="AC171" s="380"/>
      <c r="AD171" s="671"/>
      <c r="AE171" s="380"/>
      <c r="AF171" s="380"/>
      <c r="AG171" s="380"/>
      <c r="AH171" s="671"/>
      <c r="AI171" s="380"/>
      <c r="AJ171" s="583"/>
      <c r="AK171" s="583"/>
      <c r="AL171" s="511"/>
      <c r="AM171" s="584"/>
      <c r="AN171" s="584"/>
      <c r="AO171" s="584"/>
      <c r="AP171" s="671"/>
      <c r="AQ171" s="584"/>
      <c r="AR171" s="583"/>
      <c r="AS171" s="583"/>
      <c r="AT171" s="585"/>
      <c r="AU171" s="585"/>
      <c r="AV171" s="585"/>
      <c r="AW171" s="585"/>
      <c r="AX171" s="673"/>
      <c r="AY171" s="380"/>
      <c r="AZ171" s="380"/>
      <c r="BA171" s="380"/>
      <c r="BB171" s="380"/>
      <c r="BC171" s="380"/>
      <c r="BD171" s="380"/>
      <c r="BE171" s="380"/>
      <c r="BF171" s="380"/>
      <c r="BG171" s="380"/>
      <c r="BH171" s="380"/>
      <c r="BI171" s="511"/>
      <c r="BJ171" s="380"/>
      <c r="BK171" s="380"/>
      <c r="BL171" s="380"/>
      <c r="BM171" s="380"/>
      <c r="BN171" s="380"/>
      <c r="BO171" s="380"/>
      <c r="BP171" s="380"/>
      <c r="BQ171" s="380"/>
      <c r="BR171" s="380"/>
    </row>
    <row r="172" spans="1:70" ht="12.75" customHeight="1" x14ac:dyDescent="0.25">
      <c r="A172" s="380"/>
      <c r="B172" s="380"/>
      <c r="C172" s="380"/>
      <c r="D172" s="380"/>
      <c r="E172" s="511"/>
      <c r="F172" s="511"/>
      <c r="G172" s="582"/>
      <c r="H172" s="511"/>
      <c r="I172" s="511"/>
      <c r="J172" s="582"/>
      <c r="K172" s="511"/>
      <c r="L172" s="511"/>
      <c r="M172" s="582"/>
      <c r="N172" s="582"/>
      <c r="O172" s="582"/>
      <c r="P172" s="582"/>
      <c r="Q172" s="511"/>
      <c r="R172" s="511"/>
      <c r="S172" s="511"/>
      <c r="T172" s="639"/>
      <c r="U172" s="511"/>
      <c r="V172" s="511"/>
      <c r="W172" s="511"/>
      <c r="X172" s="511"/>
      <c r="Y172" s="380"/>
      <c r="Z172" s="380"/>
      <c r="AA172" s="380"/>
      <c r="AB172" s="380"/>
      <c r="AC172" s="380"/>
      <c r="AD172" s="671"/>
      <c r="AE172" s="380"/>
      <c r="AF172" s="380"/>
      <c r="AG172" s="380"/>
      <c r="AH172" s="671"/>
      <c r="AI172" s="380"/>
      <c r="AJ172" s="583"/>
      <c r="AK172" s="583"/>
      <c r="AL172" s="511"/>
      <c r="AM172" s="584"/>
      <c r="AN172" s="584"/>
      <c r="AO172" s="584"/>
      <c r="AP172" s="671"/>
      <c r="AQ172" s="584"/>
      <c r="AR172" s="583"/>
      <c r="AS172" s="583"/>
      <c r="AT172" s="585"/>
      <c r="AU172" s="585"/>
      <c r="AV172" s="585"/>
      <c r="AW172" s="585"/>
      <c r="AX172" s="673"/>
      <c r="AY172" s="380"/>
      <c r="AZ172" s="380"/>
      <c r="BA172" s="380"/>
      <c r="BB172" s="380"/>
      <c r="BC172" s="380"/>
      <c r="BD172" s="380"/>
      <c r="BE172" s="380"/>
      <c r="BF172" s="380"/>
      <c r="BG172" s="380"/>
      <c r="BH172" s="380"/>
      <c r="BI172" s="511"/>
      <c r="BJ172" s="380"/>
      <c r="BK172" s="380"/>
      <c r="BL172" s="380"/>
      <c r="BM172" s="380"/>
      <c r="BN172" s="380"/>
      <c r="BO172" s="380"/>
      <c r="BP172" s="380"/>
      <c r="BQ172" s="380"/>
      <c r="BR172" s="380"/>
    </row>
    <row r="173" spans="1:70" ht="12.75" customHeight="1" x14ac:dyDescent="0.25">
      <c r="A173" s="380"/>
      <c r="B173" s="380"/>
      <c r="C173" s="380"/>
      <c r="D173" s="380"/>
      <c r="E173" s="511"/>
      <c r="F173" s="511"/>
      <c r="G173" s="582"/>
      <c r="H173" s="511"/>
      <c r="I173" s="511"/>
      <c r="J173" s="582"/>
      <c r="K173" s="511"/>
      <c r="L173" s="511"/>
      <c r="M173" s="582"/>
      <c r="N173" s="582"/>
      <c r="O173" s="582"/>
      <c r="P173" s="582"/>
      <c r="Q173" s="511"/>
      <c r="R173" s="511"/>
      <c r="S173" s="511"/>
      <c r="T173" s="639"/>
      <c r="U173" s="511"/>
      <c r="V173" s="511"/>
      <c r="W173" s="511"/>
      <c r="X173" s="511"/>
      <c r="Y173" s="380"/>
      <c r="Z173" s="380"/>
      <c r="AA173" s="380"/>
      <c r="AB173" s="380"/>
      <c r="AC173" s="380"/>
      <c r="AD173" s="671"/>
      <c r="AE173" s="380"/>
      <c r="AF173" s="380"/>
      <c r="AG173" s="380"/>
      <c r="AH173" s="671"/>
      <c r="AI173" s="380"/>
      <c r="AJ173" s="583"/>
      <c r="AK173" s="583"/>
      <c r="AL173" s="511"/>
      <c r="AM173" s="584"/>
      <c r="AN173" s="584"/>
      <c r="AO173" s="584"/>
      <c r="AP173" s="671"/>
      <c r="AQ173" s="584"/>
      <c r="AR173" s="583"/>
      <c r="AS173" s="583"/>
      <c r="AT173" s="585"/>
      <c r="AU173" s="585"/>
      <c r="AV173" s="585"/>
      <c r="AW173" s="585"/>
      <c r="AX173" s="673"/>
      <c r="AY173" s="380"/>
      <c r="AZ173" s="380"/>
      <c r="BA173" s="380"/>
      <c r="BB173" s="380"/>
      <c r="BC173" s="380"/>
      <c r="BD173" s="380"/>
      <c r="BE173" s="380"/>
      <c r="BF173" s="380"/>
      <c r="BG173" s="380"/>
      <c r="BH173" s="380"/>
      <c r="BI173" s="511"/>
      <c r="BJ173" s="380"/>
      <c r="BK173" s="380"/>
      <c r="BL173" s="380"/>
      <c r="BM173" s="380"/>
      <c r="BN173" s="380"/>
      <c r="BO173" s="380"/>
      <c r="BP173" s="380"/>
      <c r="BQ173" s="380"/>
      <c r="BR173" s="380"/>
    </row>
    <row r="174" spans="1:70" ht="12.75" customHeight="1" x14ac:dyDescent="0.25">
      <c r="A174" s="380"/>
      <c r="B174" s="380"/>
      <c r="C174" s="380"/>
      <c r="D174" s="380"/>
      <c r="E174" s="511"/>
      <c r="F174" s="511"/>
      <c r="G174" s="582"/>
      <c r="H174" s="511"/>
      <c r="I174" s="511"/>
      <c r="J174" s="582"/>
      <c r="K174" s="511"/>
      <c r="L174" s="511"/>
      <c r="M174" s="582"/>
      <c r="N174" s="582"/>
      <c r="O174" s="582"/>
      <c r="P174" s="582"/>
      <c r="Q174" s="511"/>
      <c r="R174" s="511"/>
      <c r="S174" s="511"/>
      <c r="T174" s="639"/>
      <c r="U174" s="511"/>
      <c r="V174" s="511"/>
      <c r="W174" s="511"/>
      <c r="X174" s="511"/>
      <c r="Y174" s="380"/>
      <c r="Z174" s="380"/>
      <c r="AA174" s="380"/>
      <c r="AB174" s="380"/>
      <c r="AC174" s="380"/>
      <c r="AD174" s="671"/>
      <c r="AE174" s="380"/>
      <c r="AF174" s="380"/>
      <c r="AG174" s="380"/>
      <c r="AH174" s="671"/>
      <c r="AI174" s="380"/>
      <c r="AJ174" s="583"/>
      <c r="AK174" s="583"/>
      <c r="AL174" s="511"/>
      <c r="AM174" s="584"/>
      <c r="AN174" s="584"/>
      <c r="AO174" s="584"/>
      <c r="AP174" s="671"/>
      <c r="AQ174" s="584"/>
      <c r="AR174" s="583"/>
      <c r="AS174" s="583"/>
      <c r="AT174" s="585"/>
      <c r="AU174" s="585"/>
      <c r="AV174" s="585"/>
      <c r="AW174" s="585"/>
      <c r="AX174" s="673"/>
      <c r="AY174" s="380"/>
      <c r="AZ174" s="380"/>
      <c r="BA174" s="380"/>
      <c r="BB174" s="380"/>
      <c r="BC174" s="380"/>
      <c r="BD174" s="380"/>
      <c r="BE174" s="380"/>
      <c r="BF174" s="380"/>
      <c r="BG174" s="380"/>
      <c r="BH174" s="380"/>
      <c r="BI174" s="511"/>
      <c r="BJ174" s="380"/>
      <c r="BK174" s="380"/>
      <c r="BL174" s="380"/>
      <c r="BM174" s="380"/>
      <c r="BN174" s="380"/>
      <c r="BO174" s="380"/>
      <c r="BP174" s="380"/>
      <c r="BQ174" s="380"/>
      <c r="BR174" s="380"/>
    </row>
    <row r="175" spans="1:70" ht="12.75" customHeight="1" x14ac:dyDescent="0.25">
      <c r="A175" s="380"/>
      <c r="B175" s="380"/>
      <c r="C175" s="380"/>
      <c r="D175" s="380"/>
      <c r="E175" s="511"/>
      <c r="F175" s="511"/>
      <c r="G175" s="582"/>
      <c r="H175" s="511"/>
      <c r="I175" s="511"/>
      <c r="J175" s="582"/>
      <c r="K175" s="511"/>
      <c r="L175" s="511"/>
      <c r="M175" s="582"/>
      <c r="N175" s="582"/>
      <c r="O175" s="582"/>
      <c r="P175" s="582"/>
      <c r="Q175" s="511"/>
      <c r="R175" s="511"/>
      <c r="S175" s="511"/>
      <c r="T175" s="639"/>
      <c r="U175" s="511"/>
      <c r="V175" s="511"/>
      <c r="W175" s="511"/>
      <c r="X175" s="511"/>
      <c r="Y175" s="380"/>
      <c r="Z175" s="380"/>
      <c r="AA175" s="380"/>
      <c r="AB175" s="380"/>
      <c r="AC175" s="380"/>
      <c r="AD175" s="671"/>
      <c r="AE175" s="380"/>
      <c r="AF175" s="380"/>
      <c r="AG175" s="380"/>
      <c r="AH175" s="671"/>
      <c r="AI175" s="380"/>
      <c r="AJ175" s="583"/>
      <c r="AK175" s="583"/>
      <c r="AL175" s="511"/>
      <c r="AM175" s="584"/>
      <c r="AN175" s="584"/>
      <c r="AO175" s="584"/>
      <c r="AP175" s="671"/>
      <c r="AQ175" s="584"/>
      <c r="AR175" s="583"/>
      <c r="AS175" s="583"/>
      <c r="AT175" s="585"/>
      <c r="AU175" s="585"/>
      <c r="AV175" s="585"/>
      <c r="AW175" s="585"/>
      <c r="AX175" s="673"/>
      <c r="AY175" s="380"/>
      <c r="AZ175" s="380"/>
      <c r="BA175" s="380"/>
      <c r="BB175" s="380"/>
      <c r="BC175" s="380"/>
      <c r="BD175" s="380"/>
      <c r="BE175" s="380"/>
      <c r="BF175" s="380"/>
      <c r="BG175" s="380"/>
      <c r="BH175" s="380"/>
      <c r="BI175" s="511"/>
      <c r="BJ175" s="380"/>
      <c r="BK175" s="380"/>
      <c r="BL175" s="380"/>
      <c r="BM175" s="380"/>
      <c r="BN175" s="380"/>
      <c r="BO175" s="380"/>
      <c r="BP175" s="380"/>
      <c r="BQ175" s="380"/>
      <c r="BR175" s="380"/>
    </row>
    <row r="176" spans="1:70" ht="12.75" customHeight="1" x14ac:dyDescent="0.25">
      <c r="A176" s="380"/>
      <c r="B176" s="380"/>
      <c r="C176" s="380"/>
      <c r="D176" s="380"/>
      <c r="E176" s="511"/>
      <c r="F176" s="511"/>
      <c r="G176" s="582"/>
      <c r="H176" s="511"/>
      <c r="I176" s="511"/>
      <c r="J176" s="582"/>
      <c r="K176" s="511"/>
      <c r="L176" s="511"/>
      <c r="M176" s="582"/>
      <c r="N176" s="582"/>
      <c r="O176" s="582"/>
      <c r="P176" s="582"/>
      <c r="Q176" s="511"/>
      <c r="R176" s="511"/>
      <c r="S176" s="511"/>
      <c r="T176" s="639"/>
      <c r="U176" s="511"/>
      <c r="V176" s="511"/>
      <c r="W176" s="511"/>
      <c r="X176" s="511"/>
      <c r="Y176" s="380"/>
      <c r="Z176" s="380"/>
      <c r="AA176" s="380"/>
      <c r="AB176" s="380"/>
      <c r="AC176" s="380"/>
      <c r="AD176" s="671"/>
      <c r="AE176" s="380"/>
      <c r="AF176" s="380"/>
      <c r="AG176" s="380"/>
      <c r="AH176" s="671"/>
      <c r="AI176" s="380"/>
      <c r="AJ176" s="583"/>
      <c r="AK176" s="583"/>
      <c r="AL176" s="511"/>
      <c r="AM176" s="584"/>
      <c r="AN176" s="584"/>
      <c r="AO176" s="584"/>
      <c r="AP176" s="671"/>
      <c r="AQ176" s="584"/>
      <c r="AR176" s="583"/>
      <c r="AS176" s="583"/>
      <c r="AT176" s="585"/>
      <c r="AU176" s="585"/>
      <c r="AV176" s="585"/>
      <c r="AW176" s="585"/>
      <c r="AX176" s="673"/>
      <c r="AY176" s="380"/>
      <c r="AZ176" s="380"/>
      <c r="BA176" s="380"/>
      <c r="BB176" s="380"/>
      <c r="BC176" s="380"/>
      <c r="BD176" s="380"/>
      <c r="BE176" s="380"/>
      <c r="BF176" s="380"/>
      <c r="BG176" s="380"/>
      <c r="BH176" s="380"/>
      <c r="BI176" s="511"/>
      <c r="BJ176" s="380"/>
      <c r="BK176" s="380"/>
      <c r="BL176" s="380"/>
      <c r="BM176" s="380"/>
      <c r="BN176" s="380"/>
      <c r="BO176" s="380"/>
      <c r="BP176" s="380"/>
      <c r="BQ176" s="380"/>
      <c r="BR176" s="380"/>
    </row>
    <row r="177" spans="1:70" ht="12.75" customHeight="1" x14ac:dyDescent="0.25">
      <c r="A177" s="380"/>
      <c r="B177" s="380"/>
      <c r="C177" s="380"/>
      <c r="D177" s="380"/>
      <c r="E177" s="511"/>
      <c r="F177" s="511"/>
      <c r="G177" s="582"/>
      <c r="H177" s="511"/>
      <c r="I177" s="511"/>
      <c r="J177" s="582"/>
      <c r="K177" s="511"/>
      <c r="L177" s="511"/>
      <c r="M177" s="582"/>
      <c r="N177" s="582"/>
      <c r="O177" s="582"/>
      <c r="P177" s="582"/>
      <c r="Q177" s="511"/>
      <c r="R177" s="511"/>
      <c r="S177" s="511"/>
      <c r="T177" s="639"/>
      <c r="U177" s="511"/>
      <c r="V177" s="511"/>
      <c r="W177" s="511"/>
      <c r="X177" s="511"/>
      <c r="Y177" s="380"/>
      <c r="Z177" s="380"/>
      <c r="AA177" s="380"/>
      <c r="AB177" s="380"/>
      <c r="AC177" s="380"/>
      <c r="AD177" s="671"/>
      <c r="AE177" s="380"/>
      <c r="AF177" s="380"/>
      <c r="AG177" s="380"/>
      <c r="AH177" s="671"/>
      <c r="AI177" s="380"/>
      <c r="AJ177" s="583"/>
      <c r="AK177" s="583"/>
      <c r="AL177" s="511"/>
      <c r="AM177" s="584"/>
      <c r="AN177" s="584"/>
      <c r="AO177" s="584"/>
      <c r="AP177" s="671"/>
      <c r="AQ177" s="584"/>
      <c r="AR177" s="583"/>
      <c r="AS177" s="583"/>
      <c r="AT177" s="585"/>
      <c r="AU177" s="585"/>
      <c r="AV177" s="585"/>
      <c r="AW177" s="585"/>
      <c r="AX177" s="673"/>
      <c r="AY177" s="380"/>
      <c r="AZ177" s="380"/>
      <c r="BA177" s="380"/>
      <c r="BB177" s="380"/>
      <c r="BC177" s="380"/>
      <c r="BD177" s="380"/>
      <c r="BE177" s="380"/>
      <c r="BF177" s="380"/>
      <c r="BG177" s="380"/>
      <c r="BH177" s="380"/>
      <c r="BI177" s="511"/>
      <c r="BJ177" s="380"/>
      <c r="BK177" s="380"/>
      <c r="BL177" s="380"/>
      <c r="BM177" s="380"/>
      <c r="BN177" s="380"/>
      <c r="BO177" s="380"/>
      <c r="BP177" s="380"/>
      <c r="BQ177" s="380"/>
      <c r="BR177" s="380"/>
    </row>
    <row r="178" spans="1:70" ht="12.75" customHeight="1" x14ac:dyDescent="0.25">
      <c r="A178" s="380"/>
      <c r="B178" s="380"/>
      <c r="C178" s="380"/>
      <c r="D178" s="380"/>
      <c r="E178" s="511"/>
      <c r="F178" s="511"/>
      <c r="G178" s="582"/>
      <c r="H178" s="511"/>
      <c r="I178" s="511"/>
      <c r="J178" s="582"/>
      <c r="K178" s="511"/>
      <c r="L178" s="511"/>
      <c r="M178" s="582"/>
      <c r="N178" s="582"/>
      <c r="O178" s="582"/>
      <c r="P178" s="582"/>
      <c r="Q178" s="511"/>
      <c r="R178" s="511"/>
      <c r="S178" s="511"/>
      <c r="T178" s="639"/>
      <c r="U178" s="511"/>
      <c r="V178" s="511"/>
      <c r="W178" s="511"/>
      <c r="X178" s="511"/>
      <c r="Y178" s="380"/>
      <c r="Z178" s="380"/>
      <c r="AA178" s="380"/>
      <c r="AB178" s="380"/>
      <c r="AC178" s="380"/>
      <c r="AD178" s="671"/>
      <c r="AE178" s="380"/>
      <c r="AF178" s="380"/>
      <c r="AG178" s="380"/>
      <c r="AH178" s="671"/>
      <c r="AI178" s="380"/>
      <c r="AJ178" s="583"/>
      <c r="AK178" s="583"/>
      <c r="AL178" s="511"/>
      <c r="AM178" s="584"/>
      <c r="AN178" s="584"/>
      <c r="AO178" s="584"/>
      <c r="AP178" s="671"/>
      <c r="AQ178" s="584"/>
      <c r="AR178" s="583"/>
      <c r="AS178" s="583"/>
      <c r="AT178" s="585"/>
      <c r="AU178" s="585"/>
      <c r="AV178" s="585"/>
      <c r="AW178" s="585"/>
      <c r="AX178" s="673"/>
      <c r="AY178" s="380"/>
      <c r="AZ178" s="380"/>
      <c r="BA178" s="380"/>
      <c r="BB178" s="380"/>
      <c r="BC178" s="380"/>
      <c r="BD178" s="380"/>
      <c r="BE178" s="380"/>
      <c r="BF178" s="380"/>
      <c r="BG178" s="380"/>
      <c r="BH178" s="380"/>
      <c r="BI178" s="511"/>
      <c r="BJ178" s="380"/>
      <c r="BK178" s="380"/>
      <c r="BL178" s="380"/>
      <c r="BM178" s="380"/>
      <c r="BN178" s="380"/>
      <c r="BO178" s="380"/>
      <c r="BP178" s="380"/>
      <c r="BQ178" s="380"/>
      <c r="BR178" s="380"/>
    </row>
    <row r="179" spans="1:70" ht="12.75" customHeight="1" x14ac:dyDescent="0.25">
      <c r="A179" s="380"/>
      <c r="B179" s="380"/>
      <c r="C179" s="380"/>
      <c r="D179" s="380"/>
      <c r="E179" s="511"/>
      <c r="F179" s="511"/>
      <c r="G179" s="582"/>
      <c r="H179" s="511"/>
      <c r="I179" s="511"/>
      <c r="J179" s="582"/>
      <c r="K179" s="511"/>
      <c r="L179" s="511"/>
      <c r="M179" s="582"/>
      <c r="N179" s="582"/>
      <c r="O179" s="582"/>
      <c r="P179" s="582"/>
      <c r="Q179" s="511"/>
      <c r="R179" s="511"/>
      <c r="S179" s="511"/>
      <c r="T179" s="639"/>
      <c r="U179" s="511"/>
      <c r="V179" s="511"/>
      <c r="W179" s="511"/>
      <c r="X179" s="511"/>
      <c r="Y179" s="380"/>
      <c r="Z179" s="380"/>
      <c r="AA179" s="380"/>
      <c r="AB179" s="380"/>
      <c r="AC179" s="380"/>
      <c r="AD179" s="671"/>
      <c r="AE179" s="380"/>
      <c r="AF179" s="380"/>
      <c r="AG179" s="380"/>
      <c r="AH179" s="671"/>
      <c r="AI179" s="380"/>
      <c r="AJ179" s="583"/>
      <c r="AK179" s="583"/>
      <c r="AL179" s="511"/>
      <c r="AM179" s="584"/>
      <c r="AN179" s="584"/>
      <c r="AO179" s="584"/>
      <c r="AP179" s="671"/>
      <c r="AQ179" s="584"/>
      <c r="AR179" s="583"/>
      <c r="AS179" s="583"/>
      <c r="AT179" s="585"/>
      <c r="AU179" s="585"/>
      <c r="AV179" s="585"/>
      <c r="AW179" s="585"/>
      <c r="AX179" s="673"/>
      <c r="AY179" s="380"/>
      <c r="AZ179" s="380"/>
      <c r="BA179" s="380"/>
      <c r="BB179" s="380"/>
      <c r="BC179" s="380"/>
      <c r="BD179" s="380"/>
      <c r="BE179" s="380"/>
      <c r="BF179" s="380"/>
      <c r="BG179" s="380"/>
      <c r="BH179" s="380"/>
      <c r="BI179" s="511"/>
      <c r="BJ179" s="380"/>
      <c r="BK179" s="380"/>
      <c r="BL179" s="380"/>
      <c r="BM179" s="380"/>
      <c r="BN179" s="380"/>
      <c r="BO179" s="380"/>
      <c r="BP179" s="380"/>
      <c r="BQ179" s="380"/>
      <c r="BR179" s="380"/>
    </row>
    <row r="180" spans="1:70" ht="12.75" customHeight="1" x14ac:dyDescent="0.25">
      <c r="A180" s="380"/>
      <c r="B180" s="380"/>
      <c r="C180" s="380"/>
      <c r="D180" s="380"/>
      <c r="E180" s="511"/>
      <c r="F180" s="511"/>
      <c r="G180" s="582"/>
      <c r="H180" s="511"/>
      <c r="I180" s="511"/>
      <c r="J180" s="582"/>
      <c r="K180" s="511"/>
      <c r="L180" s="511"/>
      <c r="M180" s="582"/>
      <c r="N180" s="582"/>
      <c r="O180" s="582"/>
      <c r="P180" s="582"/>
      <c r="Q180" s="511"/>
      <c r="R180" s="511"/>
      <c r="S180" s="511"/>
      <c r="T180" s="639"/>
      <c r="U180" s="511"/>
      <c r="V180" s="511"/>
      <c r="W180" s="511"/>
      <c r="X180" s="511"/>
      <c r="Y180" s="380"/>
      <c r="Z180" s="380"/>
      <c r="AA180" s="380"/>
      <c r="AB180" s="380"/>
      <c r="AC180" s="380"/>
      <c r="AD180" s="671"/>
      <c r="AE180" s="380"/>
      <c r="AF180" s="380"/>
      <c r="AG180" s="380"/>
      <c r="AH180" s="671"/>
      <c r="AI180" s="380"/>
      <c r="AJ180" s="583"/>
      <c r="AK180" s="583"/>
      <c r="AL180" s="511"/>
      <c r="AM180" s="584"/>
      <c r="AN180" s="584"/>
      <c r="AO180" s="584"/>
      <c r="AP180" s="671"/>
      <c r="AQ180" s="584"/>
      <c r="AR180" s="583"/>
      <c r="AS180" s="583"/>
      <c r="AT180" s="585"/>
      <c r="AU180" s="585"/>
      <c r="AV180" s="585"/>
      <c r="AW180" s="585"/>
      <c r="AX180" s="673"/>
      <c r="AY180" s="380"/>
      <c r="AZ180" s="380"/>
      <c r="BA180" s="380"/>
      <c r="BB180" s="380"/>
      <c r="BC180" s="380"/>
      <c r="BD180" s="380"/>
      <c r="BE180" s="380"/>
      <c r="BF180" s="380"/>
      <c r="BG180" s="380"/>
      <c r="BH180" s="380"/>
      <c r="BI180" s="511"/>
      <c r="BJ180" s="380"/>
      <c r="BK180" s="380"/>
      <c r="BL180" s="380"/>
      <c r="BM180" s="380"/>
      <c r="BN180" s="380"/>
      <c r="BO180" s="380"/>
      <c r="BP180" s="380"/>
      <c r="BQ180" s="380"/>
      <c r="BR180" s="380"/>
    </row>
    <row r="181" spans="1:70" ht="12.75" customHeight="1" x14ac:dyDescent="0.25">
      <c r="A181" s="380"/>
      <c r="B181" s="380"/>
      <c r="C181" s="380"/>
      <c r="D181" s="380"/>
      <c r="E181" s="511"/>
      <c r="F181" s="511"/>
      <c r="G181" s="582"/>
      <c r="H181" s="511"/>
      <c r="I181" s="511"/>
      <c r="J181" s="582"/>
      <c r="K181" s="511"/>
      <c r="L181" s="511"/>
      <c r="M181" s="582"/>
      <c r="N181" s="582"/>
      <c r="O181" s="582"/>
      <c r="P181" s="582"/>
      <c r="Q181" s="511"/>
      <c r="R181" s="511"/>
      <c r="S181" s="511"/>
      <c r="T181" s="639"/>
      <c r="U181" s="511"/>
      <c r="V181" s="511"/>
      <c r="W181" s="511"/>
      <c r="X181" s="511"/>
      <c r="Y181" s="380"/>
      <c r="Z181" s="380"/>
      <c r="AA181" s="380"/>
      <c r="AB181" s="380"/>
      <c r="AC181" s="380"/>
      <c r="AD181" s="671"/>
      <c r="AE181" s="380"/>
      <c r="AF181" s="380"/>
      <c r="AG181" s="380"/>
      <c r="AH181" s="671"/>
      <c r="AI181" s="380"/>
      <c r="AJ181" s="583"/>
      <c r="AK181" s="583"/>
      <c r="AL181" s="511"/>
      <c r="AM181" s="584"/>
      <c r="AN181" s="584"/>
      <c r="AO181" s="584"/>
      <c r="AP181" s="671"/>
      <c r="AQ181" s="584"/>
      <c r="AR181" s="583"/>
      <c r="AS181" s="583"/>
      <c r="AT181" s="585"/>
      <c r="AU181" s="585"/>
      <c r="AV181" s="585"/>
      <c r="AW181" s="585"/>
      <c r="AX181" s="673"/>
      <c r="AY181" s="380"/>
      <c r="AZ181" s="380"/>
      <c r="BA181" s="380"/>
      <c r="BB181" s="380"/>
      <c r="BC181" s="380"/>
      <c r="BD181" s="380"/>
      <c r="BE181" s="380"/>
      <c r="BF181" s="380"/>
      <c r="BG181" s="380"/>
      <c r="BH181" s="380"/>
      <c r="BI181" s="511"/>
      <c r="BJ181" s="380"/>
      <c r="BK181" s="380"/>
      <c r="BL181" s="380"/>
      <c r="BM181" s="380"/>
      <c r="BN181" s="380"/>
      <c r="BO181" s="380"/>
      <c r="BP181" s="380"/>
      <c r="BQ181" s="380"/>
      <c r="BR181" s="380"/>
    </row>
    <row r="182" spans="1:70" ht="12.75" customHeight="1" x14ac:dyDescent="0.25">
      <c r="A182" s="380"/>
      <c r="B182" s="380"/>
      <c r="C182" s="380"/>
      <c r="D182" s="380"/>
      <c r="E182" s="511"/>
      <c r="F182" s="511"/>
      <c r="G182" s="582"/>
      <c r="H182" s="511"/>
      <c r="I182" s="511"/>
      <c r="J182" s="582"/>
      <c r="K182" s="511"/>
      <c r="L182" s="511"/>
      <c r="M182" s="582"/>
      <c r="N182" s="582"/>
      <c r="O182" s="582"/>
      <c r="P182" s="582"/>
      <c r="Q182" s="511"/>
      <c r="R182" s="511"/>
      <c r="S182" s="511"/>
      <c r="T182" s="639"/>
      <c r="U182" s="511"/>
      <c r="V182" s="511"/>
      <c r="W182" s="511"/>
      <c r="X182" s="511"/>
      <c r="Y182" s="380"/>
      <c r="Z182" s="380"/>
      <c r="AA182" s="380"/>
      <c r="AB182" s="380"/>
      <c r="AC182" s="380"/>
      <c r="AD182" s="671"/>
      <c r="AE182" s="380"/>
      <c r="AF182" s="380"/>
      <c r="AG182" s="380"/>
      <c r="AH182" s="671"/>
      <c r="AI182" s="380"/>
      <c r="AJ182" s="583"/>
      <c r="AK182" s="583"/>
      <c r="AL182" s="511"/>
      <c r="AM182" s="584"/>
      <c r="AN182" s="584"/>
      <c r="AO182" s="584"/>
      <c r="AP182" s="671"/>
      <c r="AQ182" s="584"/>
      <c r="AR182" s="583"/>
      <c r="AS182" s="583"/>
      <c r="AT182" s="585"/>
      <c r="AU182" s="585"/>
      <c r="AV182" s="585"/>
      <c r="AW182" s="585"/>
      <c r="AX182" s="673"/>
      <c r="AY182" s="380"/>
      <c r="AZ182" s="380"/>
      <c r="BA182" s="380"/>
      <c r="BB182" s="380"/>
      <c r="BC182" s="380"/>
      <c r="BD182" s="380"/>
      <c r="BE182" s="380"/>
      <c r="BF182" s="380"/>
      <c r="BG182" s="380"/>
      <c r="BH182" s="380"/>
      <c r="BI182" s="511"/>
      <c r="BJ182" s="380"/>
      <c r="BK182" s="380"/>
      <c r="BL182" s="380"/>
      <c r="BM182" s="380"/>
      <c r="BN182" s="380"/>
      <c r="BO182" s="380"/>
      <c r="BP182" s="380"/>
      <c r="BQ182" s="380"/>
      <c r="BR182" s="380"/>
    </row>
    <row r="183" spans="1:70" ht="12.75" customHeight="1" x14ac:dyDescent="0.25">
      <c r="A183" s="380"/>
      <c r="B183" s="380"/>
      <c r="C183" s="380"/>
      <c r="D183" s="380"/>
      <c r="E183" s="511"/>
      <c r="F183" s="511"/>
      <c r="G183" s="582"/>
      <c r="H183" s="511"/>
      <c r="I183" s="511"/>
      <c r="J183" s="582"/>
      <c r="K183" s="511"/>
      <c r="L183" s="511"/>
      <c r="M183" s="582"/>
      <c r="N183" s="582"/>
      <c r="O183" s="582"/>
      <c r="P183" s="582"/>
      <c r="Q183" s="511"/>
      <c r="R183" s="511"/>
      <c r="S183" s="511"/>
      <c r="T183" s="639"/>
      <c r="U183" s="511"/>
      <c r="V183" s="511"/>
      <c r="W183" s="511"/>
      <c r="X183" s="511"/>
      <c r="Y183" s="380"/>
      <c r="Z183" s="380"/>
      <c r="AA183" s="380"/>
      <c r="AB183" s="380"/>
      <c r="AC183" s="380"/>
      <c r="AD183" s="671"/>
      <c r="AE183" s="380"/>
      <c r="AF183" s="380"/>
      <c r="AG183" s="380"/>
      <c r="AH183" s="671"/>
      <c r="AI183" s="380"/>
      <c r="AJ183" s="583"/>
      <c r="AK183" s="583"/>
      <c r="AL183" s="511"/>
      <c r="AM183" s="584"/>
      <c r="AN183" s="584"/>
      <c r="AO183" s="584"/>
      <c r="AP183" s="671"/>
      <c r="AQ183" s="584"/>
      <c r="AR183" s="583"/>
      <c r="AS183" s="583"/>
      <c r="AT183" s="585"/>
      <c r="AU183" s="585"/>
      <c r="AV183" s="585"/>
      <c r="AW183" s="585"/>
      <c r="AX183" s="673"/>
      <c r="AY183" s="380"/>
      <c r="AZ183" s="380"/>
      <c r="BA183" s="380"/>
      <c r="BB183" s="380"/>
      <c r="BC183" s="380"/>
      <c r="BD183" s="380"/>
      <c r="BE183" s="380"/>
      <c r="BF183" s="380"/>
      <c r="BG183" s="380"/>
      <c r="BH183" s="380"/>
      <c r="BI183" s="511"/>
      <c r="BJ183" s="380"/>
      <c r="BK183" s="380"/>
      <c r="BL183" s="380"/>
      <c r="BM183" s="380"/>
      <c r="BN183" s="380"/>
      <c r="BO183" s="380"/>
      <c r="BP183" s="380"/>
      <c r="BQ183" s="380"/>
      <c r="BR183" s="380"/>
    </row>
    <row r="184" spans="1:70" ht="12.75" customHeight="1" x14ac:dyDescent="0.25">
      <c r="A184" s="380"/>
      <c r="B184" s="380"/>
      <c r="C184" s="380"/>
      <c r="D184" s="380"/>
      <c r="E184" s="511"/>
      <c r="F184" s="511"/>
      <c r="G184" s="582"/>
      <c r="H184" s="511"/>
      <c r="I184" s="511"/>
      <c r="J184" s="582"/>
      <c r="K184" s="511"/>
      <c r="L184" s="511"/>
      <c r="M184" s="582"/>
      <c r="N184" s="582"/>
      <c r="O184" s="582"/>
      <c r="P184" s="582"/>
      <c r="Q184" s="511"/>
      <c r="R184" s="511"/>
      <c r="S184" s="511"/>
      <c r="T184" s="639"/>
      <c r="U184" s="511"/>
      <c r="V184" s="511"/>
      <c r="W184" s="511"/>
      <c r="X184" s="511"/>
      <c r="Y184" s="380"/>
      <c r="Z184" s="380"/>
      <c r="AA184" s="380"/>
      <c r="AB184" s="380"/>
      <c r="AC184" s="380"/>
      <c r="AD184" s="671"/>
      <c r="AE184" s="380"/>
      <c r="AF184" s="380"/>
      <c r="AG184" s="380"/>
      <c r="AH184" s="671"/>
      <c r="AI184" s="380"/>
      <c r="AJ184" s="583"/>
      <c r="AK184" s="583"/>
      <c r="AL184" s="511"/>
      <c r="AM184" s="584"/>
      <c r="AN184" s="584"/>
      <c r="AO184" s="584"/>
      <c r="AP184" s="671"/>
      <c r="AQ184" s="584"/>
      <c r="AR184" s="583"/>
      <c r="AS184" s="583"/>
      <c r="AT184" s="585"/>
      <c r="AU184" s="585"/>
      <c r="AV184" s="585"/>
      <c r="AW184" s="585"/>
      <c r="AX184" s="673"/>
      <c r="AY184" s="380"/>
      <c r="AZ184" s="380"/>
      <c r="BA184" s="380"/>
      <c r="BB184" s="380"/>
      <c r="BC184" s="380"/>
      <c r="BD184" s="380"/>
      <c r="BE184" s="380"/>
      <c r="BF184" s="380"/>
      <c r="BG184" s="380"/>
      <c r="BH184" s="380"/>
      <c r="BI184" s="511"/>
      <c r="BJ184" s="380"/>
      <c r="BK184" s="380"/>
      <c r="BL184" s="380"/>
      <c r="BM184" s="380"/>
      <c r="BN184" s="380"/>
      <c r="BO184" s="380"/>
      <c r="BP184" s="380"/>
      <c r="BQ184" s="380"/>
      <c r="BR184" s="380"/>
    </row>
    <row r="185" spans="1:70" ht="12.75" customHeight="1" x14ac:dyDescent="0.25">
      <c r="A185" s="380"/>
      <c r="B185" s="380"/>
      <c r="C185" s="380"/>
      <c r="D185" s="380"/>
      <c r="E185" s="511"/>
      <c r="F185" s="511"/>
      <c r="G185" s="582"/>
      <c r="H185" s="511"/>
      <c r="I185" s="511"/>
      <c r="J185" s="582"/>
      <c r="K185" s="511"/>
      <c r="L185" s="511"/>
      <c r="M185" s="582"/>
      <c r="N185" s="582"/>
      <c r="O185" s="582"/>
      <c r="P185" s="582"/>
      <c r="Q185" s="511"/>
      <c r="R185" s="511"/>
      <c r="S185" s="511"/>
      <c r="T185" s="639"/>
      <c r="U185" s="511"/>
      <c r="V185" s="511"/>
      <c r="W185" s="511"/>
      <c r="X185" s="511"/>
      <c r="Y185" s="380"/>
      <c r="Z185" s="380"/>
      <c r="AA185" s="380"/>
      <c r="AB185" s="380"/>
      <c r="AC185" s="380"/>
      <c r="AD185" s="671"/>
      <c r="AE185" s="380"/>
      <c r="AF185" s="380"/>
      <c r="AG185" s="380"/>
      <c r="AH185" s="671"/>
      <c r="AI185" s="380"/>
      <c r="AJ185" s="583"/>
      <c r="AK185" s="583"/>
      <c r="AL185" s="511"/>
      <c r="AM185" s="584"/>
      <c r="AN185" s="584"/>
      <c r="AO185" s="584"/>
      <c r="AP185" s="671"/>
      <c r="AQ185" s="584"/>
      <c r="AR185" s="583"/>
      <c r="AS185" s="583"/>
      <c r="AT185" s="585"/>
      <c r="AU185" s="585"/>
      <c r="AV185" s="585"/>
      <c r="AW185" s="585"/>
      <c r="AX185" s="673"/>
      <c r="AY185" s="380"/>
      <c r="AZ185" s="380"/>
      <c r="BA185" s="380"/>
      <c r="BB185" s="380"/>
      <c r="BC185" s="380"/>
      <c r="BD185" s="380"/>
      <c r="BE185" s="380"/>
      <c r="BF185" s="380"/>
      <c r="BG185" s="380"/>
      <c r="BH185" s="380"/>
      <c r="BI185" s="511"/>
      <c r="BJ185" s="380"/>
      <c r="BK185" s="380"/>
      <c r="BL185" s="380"/>
      <c r="BM185" s="380"/>
      <c r="BN185" s="380"/>
      <c r="BO185" s="380"/>
      <c r="BP185" s="380"/>
      <c r="BQ185" s="380"/>
      <c r="BR185" s="380"/>
    </row>
    <row r="186" spans="1:70" ht="12.75" customHeight="1" x14ac:dyDescent="0.25">
      <c r="A186" s="380"/>
      <c r="B186" s="380"/>
      <c r="C186" s="380"/>
      <c r="D186" s="380"/>
      <c r="E186" s="511"/>
      <c r="F186" s="511"/>
      <c r="G186" s="582"/>
      <c r="H186" s="511"/>
      <c r="I186" s="511"/>
      <c r="J186" s="582"/>
      <c r="K186" s="511"/>
      <c r="L186" s="511"/>
      <c r="M186" s="582"/>
      <c r="N186" s="582"/>
      <c r="O186" s="582"/>
      <c r="P186" s="582"/>
      <c r="Q186" s="511"/>
      <c r="R186" s="511"/>
      <c r="S186" s="511"/>
      <c r="T186" s="639"/>
      <c r="U186" s="511"/>
      <c r="V186" s="511"/>
      <c r="W186" s="511"/>
      <c r="X186" s="511"/>
      <c r="Y186" s="380"/>
      <c r="Z186" s="380"/>
      <c r="AA186" s="380"/>
      <c r="AB186" s="380"/>
      <c r="AC186" s="380"/>
      <c r="AD186" s="671"/>
      <c r="AE186" s="380"/>
      <c r="AF186" s="380"/>
      <c r="AG186" s="380"/>
      <c r="AH186" s="671"/>
      <c r="AI186" s="380"/>
      <c r="AJ186" s="583"/>
      <c r="AK186" s="583"/>
      <c r="AL186" s="511"/>
      <c r="AM186" s="584"/>
      <c r="AN186" s="584"/>
      <c r="AO186" s="584"/>
      <c r="AP186" s="671"/>
      <c r="AQ186" s="584"/>
      <c r="AR186" s="583"/>
      <c r="AS186" s="583"/>
      <c r="AT186" s="585"/>
      <c r="AU186" s="585"/>
      <c r="AV186" s="585"/>
      <c r="AW186" s="585"/>
      <c r="AX186" s="673"/>
      <c r="AY186" s="380"/>
      <c r="AZ186" s="380"/>
      <c r="BA186" s="380"/>
      <c r="BB186" s="380"/>
      <c r="BC186" s="380"/>
      <c r="BD186" s="380"/>
      <c r="BE186" s="380"/>
      <c r="BF186" s="380"/>
      <c r="BG186" s="380"/>
      <c r="BH186" s="380"/>
      <c r="BI186" s="511"/>
      <c r="BJ186" s="380"/>
      <c r="BK186" s="380"/>
      <c r="BL186" s="380"/>
      <c r="BM186" s="380"/>
      <c r="BN186" s="380"/>
      <c r="BO186" s="380"/>
      <c r="BP186" s="380"/>
      <c r="BQ186" s="380"/>
      <c r="BR186" s="380"/>
    </row>
    <row r="187" spans="1:70" ht="12.75" customHeight="1" x14ac:dyDescent="0.25">
      <c r="A187" s="380"/>
      <c r="B187" s="380"/>
      <c r="C187" s="380"/>
      <c r="D187" s="380"/>
      <c r="E187" s="511"/>
      <c r="F187" s="511"/>
      <c r="G187" s="582"/>
      <c r="H187" s="511"/>
      <c r="I187" s="511"/>
      <c r="J187" s="582"/>
      <c r="K187" s="511"/>
      <c r="L187" s="511"/>
      <c r="M187" s="582"/>
      <c r="N187" s="582"/>
      <c r="O187" s="582"/>
      <c r="P187" s="582"/>
      <c r="Q187" s="511"/>
      <c r="R187" s="511"/>
      <c r="S187" s="511"/>
      <c r="T187" s="639"/>
      <c r="U187" s="511"/>
      <c r="V187" s="511"/>
      <c r="W187" s="511"/>
      <c r="X187" s="511"/>
      <c r="Y187" s="380"/>
      <c r="Z187" s="380"/>
      <c r="AA187" s="380"/>
      <c r="AB187" s="380"/>
      <c r="AC187" s="380"/>
      <c r="AD187" s="671"/>
      <c r="AE187" s="380"/>
      <c r="AF187" s="380"/>
      <c r="AG187" s="380"/>
      <c r="AH187" s="671"/>
      <c r="AI187" s="380"/>
      <c r="AJ187" s="583"/>
      <c r="AK187" s="583"/>
      <c r="AL187" s="511"/>
      <c r="AM187" s="584"/>
      <c r="AN187" s="584"/>
      <c r="AO187" s="584"/>
      <c r="AP187" s="671"/>
      <c r="AQ187" s="584"/>
      <c r="AR187" s="583"/>
      <c r="AS187" s="583"/>
      <c r="AT187" s="585"/>
      <c r="AU187" s="585"/>
      <c r="AV187" s="585"/>
      <c r="AW187" s="585"/>
      <c r="AX187" s="673"/>
      <c r="AY187" s="380"/>
      <c r="AZ187" s="380"/>
      <c r="BA187" s="380"/>
      <c r="BB187" s="380"/>
      <c r="BC187" s="380"/>
      <c r="BD187" s="380"/>
      <c r="BE187" s="380"/>
      <c r="BF187" s="380"/>
      <c r="BG187" s="380"/>
      <c r="BH187" s="380"/>
      <c r="BI187" s="511"/>
      <c r="BJ187" s="380"/>
      <c r="BK187" s="380"/>
      <c r="BL187" s="380"/>
      <c r="BM187" s="380"/>
      <c r="BN187" s="380"/>
      <c r="BO187" s="380"/>
      <c r="BP187" s="380"/>
      <c r="BQ187" s="380"/>
      <c r="BR187" s="380"/>
    </row>
    <row r="188" spans="1:70" ht="12.75" customHeight="1" x14ac:dyDescent="0.25">
      <c r="A188" s="380"/>
      <c r="B188" s="380"/>
      <c r="C188" s="380"/>
      <c r="D188" s="380"/>
      <c r="E188" s="511"/>
      <c r="F188" s="511"/>
      <c r="G188" s="582"/>
      <c r="H188" s="511"/>
      <c r="I188" s="511"/>
      <c r="J188" s="582"/>
      <c r="K188" s="511"/>
      <c r="L188" s="511"/>
      <c r="M188" s="582"/>
      <c r="N188" s="582"/>
      <c r="O188" s="582"/>
      <c r="P188" s="582"/>
      <c r="Q188" s="511"/>
      <c r="R188" s="511"/>
      <c r="S188" s="511"/>
      <c r="T188" s="639"/>
      <c r="U188" s="511"/>
      <c r="V188" s="511"/>
      <c r="W188" s="511"/>
      <c r="X188" s="511"/>
      <c r="Y188" s="380"/>
      <c r="Z188" s="380"/>
      <c r="AA188" s="380"/>
      <c r="AB188" s="380"/>
      <c r="AC188" s="380"/>
      <c r="AD188" s="671"/>
      <c r="AE188" s="380"/>
      <c r="AF188" s="380"/>
      <c r="AG188" s="380"/>
      <c r="AH188" s="671"/>
      <c r="AI188" s="380"/>
      <c r="AJ188" s="583"/>
      <c r="AK188" s="583"/>
      <c r="AL188" s="511"/>
      <c r="AM188" s="584"/>
      <c r="AN188" s="584"/>
      <c r="AO188" s="584"/>
      <c r="AP188" s="671"/>
      <c r="AQ188" s="584"/>
      <c r="AR188" s="583"/>
      <c r="AS188" s="583"/>
      <c r="AT188" s="585"/>
      <c r="AU188" s="585"/>
      <c r="AV188" s="585"/>
      <c r="AW188" s="585"/>
      <c r="AX188" s="673"/>
      <c r="AY188" s="380"/>
      <c r="AZ188" s="380"/>
      <c r="BA188" s="380"/>
      <c r="BB188" s="380"/>
      <c r="BC188" s="380"/>
      <c r="BD188" s="380"/>
      <c r="BE188" s="380"/>
      <c r="BF188" s="380"/>
      <c r="BG188" s="380"/>
      <c r="BH188" s="380"/>
      <c r="BI188" s="511"/>
      <c r="BJ188" s="380"/>
      <c r="BK188" s="380"/>
      <c r="BL188" s="380"/>
      <c r="BM188" s="380"/>
      <c r="BN188" s="380"/>
      <c r="BO188" s="380"/>
      <c r="BP188" s="380"/>
      <c r="BQ188" s="380"/>
      <c r="BR188" s="380"/>
    </row>
    <row r="189" spans="1:70" ht="12.75" customHeight="1" x14ac:dyDescent="0.25">
      <c r="A189" s="380"/>
      <c r="B189" s="380"/>
      <c r="C189" s="380"/>
      <c r="D189" s="380"/>
      <c r="E189" s="511"/>
      <c r="F189" s="511"/>
      <c r="G189" s="582"/>
      <c r="H189" s="511"/>
      <c r="I189" s="511"/>
      <c r="J189" s="582"/>
      <c r="K189" s="511"/>
      <c r="L189" s="511"/>
      <c r="M189" s="582"/>
      <c r="N189" s="582"/>
      <c r="O189" s="582"/>
      <c r="P189" s="582"/>
      <c r="Q189" s="511"/>
      <c r="R189" s="511"/>
      <c r="S189" s="511"/>
      <c r="T189" s="639"/>
      <c r="U189" s="511"/>
      <c r="V189" s="511"/>
      <c r="W189" s="511"/>
      <c r="X189" s="511"/>
      <c r="Y189" s="380"/>
      <c r="Z189" s="380"/>
      <c r="AA189" s="380"/>
      <c r="AB189" s="380"/>
      <c r="AC189" s="380"/>
      <c r="AD189" s="671"/>
      <c r="AE189" s="380"/>
      <c r="AF189" s="380"/>
      <c r="AG189" s="380"/>
      <c r="AH189" s="671"/>
      <c r="AI189" s="380"/>
      <c r="AJ189" s="583"/>
      <c r="AK189" s="583"/>
      <c r="AL189" s="511"/>
      <c r="AM189" s="584"/>
      <c r="AN189" s="584"/>
      <c r="AO189" s="584"/>
      <c r="AP189" s="671"/>
      <c r="AQ189" s="584"/>
      <c r="AR189" s="583"/>
      <c r="AS189" s="583"/>
      <c r="AT189" s="585"/>
      <c r="AU189" s="585"/>
      <c r="AV189" s="585"/>
      <c r="AW189" s="585"/>
      <c r="AX189" s="673"/>
      <c r="AY189" s="380"/>
      <c r="AZ189" s="380"/>
      <c r="BA189" s="380"/>
      <c r="BB189" s="380"/>
      <c r="BC189" s="380"/>
      <c r="BD189" s="380"/>
      <c r="BE189" s="380"/>
      <c r="BF189" s="380"/>
      <c r="BG189" s="380"/>
      <c r="BH189" s="380"/>
      <c r="BI189" s="511"/>
      <c r="BJ189" s="380"/>
      <c r="BK189" s="380"/>
      <c r="BL189" s="380"/>
      <c r="BM189" s="380"/>
      <c r="BN189" s="380"/>
      <c r="BO189" s="380"/>
      <c r="BP189" s="380"/>
      <c r="BQ189" s="380"/>
      <c r="BR189" s="380"/>
    </row>
    <row r="190" spans="1:70" ht="12.75" customHeight="1" x14ac:dyDescent="0.25">
      <c r="A190" s="380"/>
      <c r="B190" s="380"/>
      <c r="C190" s="380"/>
      <c r="D190" s="380"/>
      <c r="E190" s="511"/>
      <c r="F190" s="511"/>
      <c r="G190" s="582"/>
      <c r="H190" s="511"/>
      <c r="I190" s="511"/>
      <c r="J190" s="582"/>
      <c r="K190" s="511"/>
      <c r="L190" s="511"/>
      <c r="M190" s="582"/>
      <c r="N190" s="582"/>
      <c r="O190" s="582"/>
      <c r="P190" s="582"/>
      <c r="Q190" s="511"/>
      <c r="R190" s="511"/>
      <c r="S190" s="511"/>
      <c r="T190" s="639"/>
      <c r="U190" s="511"/>
      <c r="V190" s="511"/>
      <c r="W190" s="511"/>
      <c r="X190" s="511"/>
      <c r="Y190" s="380"/>
      <c r="Z190" s="380"/>
      <c r="AA190" s="380"/>
      <c r="AB190" s="380"/>
      <c r="AC190" s="380"/>
      <c r="AD190" s="671"/>
      <c r="AE190" s="380"/>
      <c r="AF190" s="380"/>
      <c r="AG190" s="380"/>
      <c r="AH190" s="671"/>
      <c r="AI190" s="380"/>
      <c r="AJ190" s="583"/>
      <c r="AK190" s="583"/>
      <c r="AL190" s="511"/>
      <c r="AM190" s="584"/>
      <c r="AN190" s="584"/>
      <c r="AO190" s="584"/>
      <c r="AP190" s="671"/>
      <c r="AQ190" s="584"/>
      <c r="AR190" s="583"/>
      <c r="AS190" s="583"/>
      <c r="AT190" s="585"/>
      <c r="AU190" s="585"/>
      <c r="AV190" s="585"/>
      <c r="AW190" s="585"/>
      <c r="AX190" s="673"/>
      <c r="AY190" s="380"/>
      <c r="AZ190" s="380"/>
      <c r="BA190" s="380"/>
      <c r="BB190" s="380"/>
      <c r="BC190" s="380"/>
      <c r="BD190" s="380"/>
      <c r="BE190" s="380"/>
      <c r="BF190" s="380"/>
      <c r="BG190" s="380"/>
      <c r="BH190" s="380"/>
      <c r="BI190" s="511"/>
      <c r="BJ190" s="380"/>
      <c r="BK190" s="380"/>
      <c r="BL190" s="380"/>
      <c r="BM190" s="380"/>
      <c r="BN190" s="380"/>
      <c r="BO190" s="380"/>
      <c r="BP190" s="380"/>
      <c r="BQ190" s="380"/>
      <c r="BR190" s="380"/>
    </row>
    <row r="191" spans="1:70" ht="12.75" customHeight="1" x14ac:dyDescent="0.25">
      <c r="A191" s="380"/>
      <c r="B191" s="380"/>
      <c r="C191" s="380"/>
      <c r="D191" s="380"/>
      <c r="E191" s="511"/>
      <c r="F191" s="511"/>
      <c r="G191" s="582"/>
      <c r="H191" s="511"/>
      <c r="I191" s="511"/>
      <c r="J191" s="582"/>
      <c r="K191" s="511"/>
      <c r="L191" s="511"/>
      <c r="M191" s="582"/>
      <c r="N191" s="582"/>
      <c r="O191" s="582"/>
      <c r="P191" s="582"/>
      <c r="Q191" s="511"/>
      <c r="R191" s="511"/>
      <c r="S191" s="511"/>
      <c r="T191" s="639"/>
      <c r="U191" s="511"/>
      <c r="V191" s="511"/>
      <c r="W191" s="511"/>
      <c r="X191" s="511"/>
      <c r="Y191" s="380"/>
      <c r="Z191" s="380"/>
      <c r="AA191" s="380"/>
      <c r="AB191" s="380"/>
      <c r="AC191" s="380"/>
      <c r="AD191" s="671"/>
      <c r="AE191" s="380"/>
      <c r="AF191" s="380"/>
      <c r="AG191" s="380"/>
      <c r="AH191" s="671"/>
      <c r="AI191" s="380"/>
      <c r="AJ191" s="583"/>
      <c r="AK191" s="583"/>
      <c r="AL191" s="511"/>
      <c r="AM191" s="584"/>
      <c r="AN191" s="584"/>
      <c r="AO191" s="584"/>
      <c r="AP191" s="671"/>
      <c r="AQ191" s="584"/>
      <c r="AR191" s="583"/>
      <c r="AS191" s="583"/>
      <c r="AT191" s="585"/>
      <c r="AU191" s="585"/>
      <c r="AV191" s="585"/>
      <c r="AW191" s="585"/>
      <c r="AX191" s="673"/>
      <c r="AY191" s="380"/>
      <c r="AZ191" s="380"/>
      <c r="BA191" s="380"/>
      <c r="BB191" s="380"/>
      <c r="BC191" s="380"/>
      <c r="BD191" s="380"/>
      <c r="BE191" s="380"/>
      <c r="BF191" s="380"/>
      <c r="BG191" s="380"/>
      <c r="BH191" s="380"/>
      <c r="BI191" s="511"/>
      <c r="BJ191" s="380"/>
      <c r="BK191" s="380"/>
      <c r="BL191" s="380"/>
      <c r="BM191" s="380"/>
      <c r="BN191" s="380"/>
      <c r="BO191" s="380"/>
      <c r="BP191" s="380"/>
      <c r="BQ191" s="380"/>
      <c r="BR191" s="380"/>
    </row>
    <row r="192" spans="1:70" ht="12.75" customHeight="1" x14ac:dyDescent="0.25">
      <c r="A192" s="380"/>
      <c r="B192" s="380"/>
      <c r="C192" s="380"/>
      <c r="D192" s="380"/>
      <c r="E192" s="511"/>
      <c r="F192" s="511"/>
      <c r="G192" s="582"/>
      <c r="H192" s="511"/>
      <c r="I192" s="511"/>
      <c r="J192" s="582"/>
      <c r="K192" s="511"/>
      <c r="L192" s="511"/>
      <c r="M192" s="582"/>
      <c r="N192" s="582"/>
      <c r="O192" s="582"/>
      <c r="P192" s="582"/>
      <c r="Q192" s="511"/>
      <c r="R192" s="511"/>
      <c r="S192" s="511"/>
      <c r="T192" s="639"/>
      <c r="U192" s="511"/>
      <c r="V192" s="511"/>
      <c r="W192" s="511"/>
      <c r="X192" s="511"/>
      <c r="Y192" s="380"/>
      <c r="Z192" s="380"/>
      <c r="AA192" s="380"/>
      <c r="AB192" s="380"/>
      <c r="AC192" s="380"/>
      <c r="AD192" s="671"/>
      <c r="AE192" s="380"/>
      <c r="AF192" s="380"/>
      <c r="AG192" s="380"/>
      <c r="AH192" s="671"/>
      <c r="AI192" s="380"/>
      <c r="AJ192" s="583"/>
      <c r="AK192" s="583"/>
      <c r="AL192" s="511"/>
      <c r="AM192" s="584"/>
      <c r="AN192" s="584"/>
      <c r="AO192" s="584"/>
      <c r="AP192" s="671"/>
      <c r="AQ192" s="584"/>
      <c r="AR192" s="583"/>
      <c r="AS192" s="583"/>
      <c r="AT192" s="585"/>
      <c r="AU192" s="585"/>
      <c r="AV192" s="585"/>
      <c r="AW192" s="585"/>
      <c r="AX192" s="673"/>
      <c r="AY192" s="380"/>
      <c r="AZ192" s="380"/>
      <c r="BA192" s="380"/>
      <c r="BB192" s="380"/>
      <c r="BC192" s="380"/>
      <c r="BD192" s="380"/>
      <c r="BE192" s="380"/>
      <c r="BF192" s="380"/>
      <c r="BG192" s="380"/>
      <c r="BH192" s="380"/>
      <c r="BI192" s="511"/>
      <c r="BJ192" s="380"/>
      <c r="BK192" s="380"/>
      <c r="BL192" s="380"/>
      <c r="BM192" s="380"/>
      <c r="BN192" s="380"/>
      <c r="BO192" s="380"/>
      <c r="BP192" s="380"/>
      <c r="BQ192" s="380"/>
      <c r="BR192" s="380"/>
    </row>
    <row r="193" spans="1:70" ht="12.75" customHeight="1" x14ac:dyDescent="0.25">
      <c r="A193" s="380"/>
      <c r="B193" s="380"/>
      <c r="C193" s="380"/>
      <c r="D193" s="380"/>
      <c r="E193" s="511"/>
      <c r="F193" s="511"/>
      <c r="G193" s="582"/>
      <c r="H193" s="511"/>
      <c r="I193" s="511"/>
      <c r="J193" s="582"/>
      <c r="K193" s="511"/>
      <c r="L193" s="511"/>
      <c r="M193" s="582"/>
      <c r="N193" s="582"/>
      <c r="O193" s="582"/>
      <c r="P193" s="582"/>
      <c r="Q193" s="511"/>
      <c r="R193" s="511"/>
      <c r="S193" s="511"/>
      <c r="T193" s="639"/>
      <c r="U193" s="511"/>
      <c r="V193" s="511"/>
      <c r="W193" s="511"/>
      <c r="X193" s="511"/>
      <c r="Y193" s="380"/>
      <c r="Z193" s="380"/>
      <c r="AA193" s="380"/>
      <c r="AB193" s="380"/>
      <c r="AC193" s="380"/>
      <c r="AD193" s="671"/>
      <c r="AE193" s="380"/>
      <c r="AF193" s="380"/>
      <c r="AG193" s="380"/>
      <c r="AH193" s="671"/>
      <c r="AI193" s="380"/>
      <c r="AJ193" s="583"/>
      <c r="AK193" s="583"/>
      <c r="AL193" s="511"/>
      <c r="AM193" s="584"/>
      <c r="AN193" s="584"/>
      <c r="AO193" s="584"/>
      <c r="AP193" s="671"/>
      <c r="AQ193" s="584"/>
      <c r="AR193" s="583"/>
      <c r="AS193" s="583"/>
      <c r="AT193" s="585"/>
      <c r="AU193" s="585"/>
      <c r="AV193" s="585"/>
      <c r="AW193" s="585"/>
      <c r="AX193" s="673"/>
      <c r="AY193" s="380"/>
      <c r="AZ193" s="380"/>
      <c r="BA193" s="380"/>
      <c r="BB193" s="380"/>
      <c r="BC193" s="380"/>
      <c r="BD193" s="380"/>
      <c r="BE193" s="380"/>
      <c r="BF193" s="380"/>
      <c r="BG193" s="380"/>
      <c r="BH193" s="380"/>
      <c r="BI193" s="511"/>
      <c r="BJ193" s="380"/>
      <c r="BK193" s="380"/>
      <c r="BL193" s="380"/>
      <c r="BM193" s="380"/>
      <c r="BN193" s="380"/>
      <c r="BO193" s="380"/>
      <c r="BP193" s="380"/>
      <c r="BQ193" s="380"/>
      <c r="BR193" s="380"/>
    </row>
    <row r="194" spans="1:70" ht="12.75" customHeight="1" x14ac:dyDescent="0.25">
      <c r="A194" s="380"/>
      <c r="B194" s="380"/>
      <c r="C194" s="380"/>
      <c r="D194" s="380"/>
      <c r="E194" s="511"/>
      <c r="F194" s="511"/>
      <c r="G194" s="582"/>
      <c r="H194" s="511"/>
      <c r="I194" s="511"/>
      <c r="J194" s="582"/>
      <c r="K194" s="511"/>
      <c r="L194" s="511"/>
      <c r="M194" s="582"/>
      <c r="N194" s="582"/>
      <c r="O194" s="582"/>
      <c r="P194" s="582"/>
      <c r="Q194" s="511"/>
      <c r="R194" s="511"/>
      <c r="S194" s="511"/>
      <c r="T194" s="639"/>
      <c r="U194" s="511"/>
      <c r="V194" s="511"/>
      <c r="W194" s="511"/>
      <c r="X194" s="511"/>
      <c r="Y194" s="380"/>
      <c r="Z194" s="380"/>
      <c r="AA194" s="380"/>
      <c r="AB194" s="380"/>
      <c r="AC194" s="380"/>
      <c r="AD194" s="671"/>
      <c r="AE194" s="380"/>
      <c r="AF194" s="380"/>
      <c r="AG194" s="380"/>
      <c r="AH194" s="671"/>
      <c r="AI194" s="380"/>
      <c r="AJ194" s="583"/>
      <c r="AK194" s="583"/>
      <c r="AL194" s="511"/>
      <c r="AM194" s="584"/>
      <c r="AN194" s="584"/>
      <c r="AO194" s="584"/>
      <c r="AP194" s="671"/>
      <c r="AQ194" s="584"/>
      <c r="AR194" s="583"/>
      <c r="AS194" s="583"/>
      <c r="AT194" s="585"/>
      <c r="AU194" s="585"/>
      <c r="AV194" s="585"/>
      <c r="AW194" s="585"/>
      <c r="AX194" s="673"/>
      <c r="AY194" s="380"/>
      <c r="AZ194" s="380"/>
      <c r="BA194" s="380"/>
      <c r="BB194" s="380"/>
      <c r="BC194" s="380"/>
      <c r="BD194" s="380"/>
      <c r="BE194" s="380"/>
      <c r="BF194" s="380"/>
      <c r="BG194" s="380"/>
      <c r="BH194" s="380"/>
      <c r="BI194" s="511"/>
      <c r="BJ194" s="380"/>
      <c r="BK194" s="380"/>
      <c r="BL194" s="380"/>
      <c r="BM194" s="380"/>
      <c r="BN194" s="380"/>
      <c r="BO194" s="380"/>
      <c r="BP194" s="380"/>
      <c r="BQ194" s="380"/>
      <c r="BR194" s="380"/>
    </row>
    <row r="195" spans="1:70" ht="12.75" customHeight="1" x14ac:dyDescent="0.25">
      <c r="A195" s="380"/>
      <c r="B195" s="380"/>
      <c r="C195" s="380"/>
      <c r="D195" s="380"/>
      <c r="E195" s="511"/>
      <c r="F195" s="511"/>
      <c r="G195" s="582"/>
      <c r="H195" s="511"/>
      <c r="I195" s="511"/>
      <c r="J195" s="582"/>
      <c r="K195" s="511"/>
      <c r="L195" s="511"/>
      <c r="M195" s="582"/>
      <c r="N195" s="582"/>
      <c r="O195" s="582"/>
      <c r="P195" s="582"/>
      <c r="Q195" s="511"/>
      <c r="R195" s="511"/>
      <c r="S195" s="511"/>
      <c r="T195" s="639"/>
      <c r="U195" s="511"/>
      <c r="V195" s="511"/>
      <c r="W195" s="511"/>
      <c r="X195" s="511"/>
      <c r="Y195" s="380"/>
      <c r="Z195" s="380"/>
      <c r="AA195" s="380"/>
      <c r="AB195" s="380"/>
      <c r="AC195" s="380"/>
      <c r="AD195" s="671"/>
      <c r="AE195" s="380"/>
      <c r="AF195" s="380"/>
      <c r="AG195" s="380"/>
      <c r="AH195" s="671"/>
      <c r="AI195" s="380"/>
      <c r="AJ195" s="583"/>
      <c r="AK195" s="583"/>
      <c r="AL195" s="511"/>
      <c r="AM195" s="584"/>
      <c r="AN195" s="584"/>
      <c r="AO195" s="584"/>
      <c r="AP195" s="671"/>
      <c r="AQ195" s="584"/>
      <c r="AR195" s="583"/>
      <c r="AS195" s="583"/>
      <c r="AT195" s="585"/>
      <c r="AU195" s="585"/>
      <c r="AV195" s="585"/>
      <c r="AW195" s="585"/>
      <c r="AX195" s="673"/>
      <c r="AY195" s="380"/>
      <c r="AZ195" s="380"/>
      <c r="BA195" s="380"/>
      <c r="BB195" s="380"/>
      <c r="BC195" s="380"/>
      <c r="BD195" s="380"/>
      <c r="BE195" s="380"/>
      <c r="BF195" s="380"/>
      <c r="BG195" s="380"/>
      <c r="BH195" s="380"/>
      <c r="BI195" s="511"/>
      <c r="BJ195" s="380"/>
      <c r="BK195" s="380"/>
      <c r="BL195" s="380"/>
      <c r="BM195" s="380"/>
      <c r="BN195" s="380"/>
      <c r="BO195" s="380"/>
      <c r="BP195" s="380"/>
      <c r="BQ195" s="380"/>
      <c r="BR195" s="380"/>
    </row>
    <row r="196" spans="1:70" ht="12.75" customHeight="1" x14ac:dyDescent="0.25">
      <c r="A196" s="380"/>
      <c r="B196" s="380"/>
      <c r="C196" s="380"/>
      <c r="D196" s="380"/>
      <c r="E196" s="511"/>
      <c r="F196" s="511"/>
      <c r="G196" s="582"/>
      <c r="H196" s="511"/>
      <c r="I196" s="511"/>
      <c r="J196" s="582"/>
      <c r="K196" s="511"/>
      <c r="L196" s="511"/>
      <c r="M196" s="582"/>
      <c r="N196" s="582"/>
      <c r="O196" s="582"/>
      <c r="P196" s="582"/>
      <c r="Q196" s="511"/>
      <c r="R196" s="511"/>
      <c r="S196" s="511"/>
      <c r="T196" s="639"/>
      <c r="U196" s="511"/>
      <c r="V196" s="511"/>
      <c r="W196" s="511"/>
      <c r="X196" s="511"/>
      <c r="Y196" s="380"/>
      <c r="Z196" s="380"/>
      <c r="AA196" s="380"/>
      <c r="AB196" s="380"/>
      <c r="AC196" s="380"/>
      <c r="AD196" s="671"/>
      <c r="AE196" s="380"/>
      <c r="AF196" s="380"/>
      <c r="AG196" s="380"/>
      <c r="AH196" s="671"/>
      <c r="AI196" s="380"/>
      <c r="AJ196" s="583"/>
      <c r="AK196" s="583"/>
      <c r="AL196" s="511"/>
      <c r="AM196" s="584"/>
      <c r="AN196" s="584"/>
      <c r="AO196" s="584"/>
      <c r="AP196" s="671"/>
      <c r="AQ196" s="584"/>
      <c r="AR196" s="583"/>
      <c r="AS196" s="583"/>
      <c r="AT196" s="585"/>
      <c r="AU196" s="585"/>
      <c r="AV196" s="585"/>
      <c r="AW196" s="585"/>
      <c r="AX196" s="673"/>
      <c r="AY196" s="380"/>
      <c r="AZ196" s="380"/>
      <c r="BA196" s="380"/>
      <c r="BB196" s="380"/>
      <c r="BC196" s="380"/>
      <c r="BD196" s="380"/>
      <c r="BE196" s="380"/>
      <c r="BF196" s="380"/>
      <c r="BG196" s="380"/>
      <c r="BH196" s="380"/>
      <c r="BI196" s="511"/>
      <c r="BJ196" s="380"/>
      <c r="BK196" s="380"/>
      <c r="BL196" s="380"/>
      <c r="BM196" s="380"/>
      <c r="BN196" s="380"/>
      <c r="BO196" s="380"/>
      <c r="BP196" s="380"/>
      <c r="BQ196" s="380"/>
      <c r="BR196" s="380"/>
    </row>
    <row r="197" spans="1:70" ht="12.75" customHeight="1" x14ac:dyDescent="0.25">
      <c r="A197" s="380"/>
      <c r="B197" s="380"/>
      <c r="C197" s="380"/>
      <c r="D197" s="380"/>
      <c r="E197" s="511"/>
      <c r="F197" s="511"/>
      <c r="G197" s="582"/>
      <c r="H197" s="511"/>
      <c r="I197" s="511"/>
      <c r="J197" s="582"/>
      <c r="K197" s="511"/>
      <c r="L197" s="511"/>
      <c r="M197" s="582"/>
      <c r="N197" s="582"/>
      <c r="O197" s="582"/>
      <c r="P197" s="582"/>
      <c r="Q197" s="511"/>
      <c r="R197" s="511"/>
      <c r="S197" s="511"/>
      <c r="T197" s="639"/>
      <c r="U197" s="511"/>
      <c r="V197" s="511"/>
      <c r="W197" s="511"/>
      <c r="X197" s="511"/>
      <c r="Y197" s="380"/>
      <c r="Z197" s="380"/>
      <c r="AA197" s="380"/>
      <c r="AB197" s="380"/>
      <c r="AC197" s="380"/>
      <c r="AD197" s="671"/>
      <c r="AE197" s="380"/>
      <c r="AF197" s="380"/>
      <c r="AG197" s="380"/>
      <c r="AH197" s="671"/>
      <c r="AI197" s="380"/>
      <c r="AJ197" s="583"/>
      <c r="AK197" s="583"/>
      <c r="AL197" s="511"/>
      <c r="AM197" s="584"/>
      <c r="AN197" s="584"/>
      <c r="AO197" s="584"/>
      <c r="AP197" s="671"/>
      <c r="AQ197" s="584"/>
      <c r="AR197" s="583"/>
      <c r="AS197" s="583"/>
      <c r="AT197" s="585"/>
      <c r="AU197" s="585"/>
      <c r="AV197" s="585"/>
      <c r="AW197" s="585"/>
      <c r="AX197" s="673"/>
      <c r="AY197" s="380"/>
      <c r="AZ197" s="380"/>
      <c r="BA197" s="380"/>
      <c r="BB197" s="380"/>
      <c r="BC197" s="380"/>
      <c r="BD197" s="380"/>
      <c r="BE197" s="380"/>
      <c r="BF197" s="380"/>
      <c r="BG197" s="380"/>
      <c r="BH197" s="380"/>
      <c r="BI197" s="511"/>
      <c r="BJ197" s="380"/>
      <c r="BK197" s="380"/>
      <c r="BL197" s="380"/>
      <c r="BM197" s="380"/>
      <c r="BN197" s="380"/>
      <c r="BO197" s="380"/>
      <c r="BP197" s="380"/>
      <c r="BQ197" s="380"/>
      <c r="BR197" s="380"/>
    </row>
    <row r="198" spans="1:70" ht="12.75" customHeight="1" x14ac:dyDescent="0.25">
      <c r="A198" s="380"/>
      <c r="B198" s="380"/>
      <c r="C198" s="380"/>
      <c r="D198" s="380"/>
      <c r="E198" s="511"/>
      <c r="F198" s="511"/>
      <c r="G198" s="582"/>
      <c r="H198" s="511"/>
      <c r="I198" s="511"/>
      <c r="J198" s="582"/>
      <c r="K198" s="511"/>
      <c r="L198" s="511"/>
      <c r="M198" s="582"/>
      <c r="N198" s="582"/>
      <c r="O198" s="582"/>
      <c r="P198" s="582"/>
      <c r="Q198" s="511"/>
      <c r="R198" s="511"/>
      <c r="S198" s="511"/>
      <c r="T198" s="639"/>
      <c r="U198" s="511"/>
      <c r="V198" s="511"/>
      <c r="W198" s="511"/>
      <c r="X198" s="511"/>
      <c r="Y198" s="380"/>
      <c r="Z198" s="380"/>
      <c r="AA198" s="380"/>
      <c r="AB198" s="380"/>
      <c r="AC198" s="380"/>
      <c r="AD198" s="671"/>
      <c r="AE198" s="380"/>
      <c r="AF198" s="380"/>
      <c r="AG198" s="380"/>
      <c r="AH198" s="671"/>
      <c r="AI198" s="380"/>
      <c r="AJ198" s="583"/>
      <c r="AK198" s="583"/>
      <c r="AL198" s="511"/>
      <c r="AM198" s="584"/>
      <c r="AN198" s="584"/>
      <c r="AO198" s="584"/>
      <c r="AP198" s="671"/>
      <c r="AQ198" s="584"/>
      <c r="AR198" s="583"/>
      <c r="AS198" s="583"/>
      <c r="AT198" s="585"/>
      <c r="AU198" s="585"/>
      <c r="AV198" s="585"/>
      <c r="AW198" s="585"/>
      <c r="AX198" s="673"/>
      <c r="AY198" s="380"/>
      <c r="AZ198" s="380"/>
      <c r="BA198" s="380"/>
      <c r="BB198" s="380"/>
      <c r="BC198" s="380"/>
      <c r="BD198" s="380"/>
      <c r="BE198" s="380"/>
      <c r="BF198" s="380"/>
      <c r="BG198" s="380"/>
      <c r="BH198" s="380"/>
      <c r="BI198" s="511"/>
      <c r="BJ198" s="380"/>
      <c r="BK198" s="380"/>
      <c r="BL198" s="380"/>
      <c r="BM198" s="380"/>
      <c r="BN198" s="380"/>
      <c r="BO198" s="380"/>
      <c r="BP198" s="380"/>
      <c r="BQ198" s="380"/>
      <c r="BR198" s="380"/>
    </row>
    <row r="199" spans="1:70" ht="12.75" customHeight="1" x14ac:dyDescent="0.25">
      <c r="A199" s="380"/>
      <c r="B199" s="380"/>
      <c r="C199" s="380"/>
      <c r="D199" s="380"/>
      <c r="E199" s="511"/>
      <c r="F199" s="511"/>
      <c r="G199" s="582"/>
      <c r="H199" s="511"/>
      <c r="I199" s="511"/>
      <c r="J199" s="582"/>
      <c r="K199" s="511"/>
      <c r="L199" s="511"/>
      <c r="M199" s="582"/>
      <c r="N199" s="582"/>
      <c r="O199" s="582"/>
      <c r="P199" s="582"/>
      <c r="Q199" s="511"/>
      <c r="R199" s="511"/>
      <c r="S199" s="511"/>
      <c r="T199" s="639"/>
      <c r="U199" s="511"/>
      <c r="V199" s="511"/>
      <c r="W199" s="511"/>
      <c r="X199" s="511"/>
      <c r="Y199" s="380"/>
      <c r="Z199" s="380"/>
      <c r="AA199" s="380"/>
      <c r="AB199" s="380"/>
      <c r="AC199" s="380"/>
      <c r="AD199" s="671"/>
      <c r="AE199" s="380"/>
      <c r="AF199" s="380"/>
      <c r="AG199" s="380"/>
      <c r="AH199" s="671"/>
      <c r="AI199" s="380"/>
      <c r="AJ199" s="583"/>
      <c r="AK199" s="583"/>
      <c r="AL199" s="511"/>
      <c r="AM199" s="584"/>
      <c r="AN199" s="584"/>
      <c r="AO199" s="584"/>
      <c r="AP199" s="671"/>
      <c r="AQ199" s="584"/>
      <c r="AR199" s="583"/>
      <c r="AS199" s="583"/>
      <c r="AT199" s="585"/>
      <c r="AU199" s="585"/>
      <c r="AV199" s="585"/>
      <c r="AW199" s="585"/>
      <c r="AX199" s="673"/>
      <c r="AY199" s="380"/>
      <c r="AZ199" s="380"/>
      <c r="BA199" s="380"/>
      <c r="BB199" s="380"/>
      <c r="BC199" s="380"/>
      <c r="BD199" s="380"/>
      <c r="BE199" s="380"/>
      <c r="BF199" s="380"/>
      <c r="BG199" s="380"/>
      <c r="BH199" s="380"/>
      <c r="BI199" s="511"/>
      <c r="BJ199" s="380"/>
      <c r="BK199" s="380"/>
      <c r="BL199" s="380"/>
      <c r="BM199" s="380"/>
      <c r="BN199" s="380"/>
      <c r="BO199" s="380"/>
      <c r="BP199" s="380"/>
      <c r="BQ199" s="380"/>
      <c r="BR199" s="380"/>
    </row>
    <row r="200" spans="1:70" ht="12.75" customHeight="1" x14ac:dyDescent="0.25">
      <c r="A200" s="380"/>
      <c r="B200" s="380"/>
      <c r="C200" s="380"/>
      <c r="D200" s="380"/>
      <c r="E200" s="511"/>
      <c r="F200" s="511"/>
      <c r="G200" s="582"/>
      <c r="H200" s="511"/>
      <c r="I200" s="511"/>
      <c r="J200" s="582"/>
      <c r="K200" s="511"/>
      <c r="L200" s="511"/>
      <c r="M200" s="582"/>
      <c r="N200" s="582"/>
      <c r="O200" s="582"/>
      <c r="P200" s="582"/>
      <c r="Q200" s="511"/>
      <c r="R200" s="511"/>
      <c r="S200" s="511"/>
      <c r="T200" s="639"/>
      <c r="U200" s="511"/>
      <c r="V200" s="511"/>
      <c r="W200" s="511"/>
      <c r="X200" s="511"/>
      <c r="Y200" s="380"/>
      <c r="Z200" s="380"/>
      <c r="AA200" s="380"/>
      <c r="AB200" s="380"/>
      <c r="AC200" s="380"/>
      <c r="AD200" s="671"/>
      <c r="AE200" s="380"/>
      <c r="AF200" s="380"/>
      <c r="AG200" s="380"/>
      <c r="AH200" s="671"/>
      <c r="AI200" s="380"/>
      <c r="AJ200" s="583"/>
      <c r="AK200" s="583"/>
      <c r="AL200" s="511"/>
      <c r="AM200" s="584"/>
      <c r="AN200" s="584"/>
      <c r="AO200" s="584"/>
      <c r="AP200" s="671"/>
      <c r="AQ200" s="584"/>
      <c r="AR200" s="583"/>
      <c r="AS200" s="583"/>
      <c r="AT200" s="585"/>
      <c r="AU200" s="585"/>
      <c r="AV200" s="585"/>
      <c r="AW200" s="585"/>
      <c r="AX200" s="673"/>
      <c r="AY200" s="380"/>
      <c r="AZ200" s="380"/>
      <c r="BA200" s="380"/>
      <c r="BB200" s="380"/>
      <c r="BC200" s="380"/>
      <c r="BD200" s="380"/>
      <c r="BE200" s="380"/>
      <c r="BF200" s="380"/>
      <c r="BG200" s="380"/>
      <c r="BH200" s="380"/>
      <c r="BI200" s="511"/>
      <c r="BJ200" s="380"/>
      <c r="BK200" s="380"/>
      <c r="BL200" s="380"/>
      <c r="BM200" s="380"/>
      <c r="BN200" s="380"/>
      <c r="BO200" s="380"/>
      <c r="BP200" s="380"/>
      <c r="BQ200" s="380"/>
      <c r="BR200" s="380"/>
    </row>
    <row r="201" spans="1:70" ht="12.75" customHeight="1" x14ac:dyDescent="0.25">
      <c r="A201" s="380"/>
      <c r="B201" s="380"/>
      <c r="C201" s="380"/>
      <c r="D201" s="380"/>
      <c r="E201" s="511"/>
      <c r="F201" s="511"/>
      <c r="G201" s="582"/>
      <c r="H201" s="511"/>
      <c r="I201" s="511"/>
      <c r="J201" s="582"/>
      <c r="K201" s="511"/>
      <c r="L201" s="511"/>
      <c r="M201" s="582"/>
      <c r="N201" s="582"/>
      <c r="O201" s="582"/>
      <c r="P201" s="582"/>
      <c r="Q201" s="511"/>
      <c r="R201" s="511"/>
      <c r="S201" s="511"/>
      <c r="T201" s="639"/>
      <c r="U201" s="511"/>
      <c r="V201" s="511"/>
      <c r="W201" s="511"/>
      <c r="X201" s="511"/>
      <c r="Y201" s="380"/>
      <c r="Z201" s="380"/>
      <c r="AA201" s="380"/>
      <c r="AB201" s="380"/>
      <c r="AC201" s="380"/>
      <c r="AD201" s="671"/>
      <c r="AE201" s="380"/>
      <c r="AF201" s="380"/>
      <c r="AG201" s="380"/>
      <c r="AH201" s="671"/>
      <c r="AI201" s="380"/>
      <c r="AJ201" s="583"/>
      <c r="AK201" s="583"/>
      <c r="AL201" s="511"/>
      <c r="AM201" s="584"/>
      <c r="AN201" s="584"/>
      <c r="AO201" s="584"/>
      <c r="AP201" s="671"/>
      <c r="AQ201" s="584"/>
      <c r="AR201" s="583"/>
      <c r="AS201" s="583"/>
      <c r="AT201" s="585"/>
      <c r="AU201" s="585"/>
      <c r="AV201" s="585"/>
      <c r="AW201" s="585"/>
      <c r="AX201" s="673"/>
      <c r="AY201" s="380"/>
      <c r="AZ201" s="380"/>
      <c r="BA201" s="380"/>
      <c r="BB201" s="380"/>
      <c r="BC201" s="380"/>
      <c r="BD201" s="380"/>
      <c r="BE201" s="380"/>
      <c r="BF201" s="380"/>
      <c r="BG201" s="380"/>
      <c r="BH201" s="380"/>
      <c r="BI201" s="511"/>
      <c r="BJ201" s="380"/>
      <c r="BK201" s="380"/>
      <c r="BL201" s="380"/>
      <c r="BM201" s="380"/>
      <c r="BN201" s="380"/>
      <c r="BO201" s="380"/>
      <c r="BP201" s="380"/>
      <c r="BQ201" s="380"/>
      <c r="BR201" s="380"/>
    </row>
    <row r="202" spans="1:70" ht="12.75" customHeight="1" x14ac:dyDescent="0.25">
      <c r="A202" s="380"/>
      <c r="B202" s="380"/>
      <c r="C202" s="380"/>
      <c r="D202" s="380"/>
      <c r="E202" s="511"/>
      <c r="F202" s="511"/>
      <c r="G202" s="582"/>
      <c r="H202" s="511"/>
      <c r="I202" s="511"/>
      <c r="J202" s="582"/>
      <c r="K202" s="511"/>
      <c r="L202" s="511"/>
      <c r="M202" s="582"/>
      <c r="N202" s="582"/>
      <c r="O202" s="582"/>
      <c r="P202" s="582"/>
      <c r="Q202" s="511"/>
      <c r="R202" s="511"/>
      <c r="S202" s="511"/>
      <c r="T202" s="639"/>
      <c r="U202" s="511"/>
      <c r="V202" s="511"/>
      <c r="W202" s="511"/>
      <c r="X202" s="511"/>
      <c r="Y202" s="380"/>
      <c r="Z202" s="380"/>
      <c r="AA202" s="380"/>
      <c r="AB202" s="380"/>
      <c r="AC202" s="380"/>
      <c r="AD202" s="671"/>
      <c r="AE202" s="380"/>
      <c r="AF202" s="380"/>
      <c r="AG202" s="380"/>
      <c r="AH202" s="671"/>
      <c r="AI202" s="380"/>
      <c r="AJ202" s="583"/>
      <c r="AK202" s="583"/>
      <c r="AL202" s="511"/>
      <c r="AM202" s="584"/>
      <c r="AN202" s="584"/>
      <c r="AO202" s="584"/>
      <c r="AP202" s="671"/>
      <c r="AQ202" s="584"/>
      <c r="AR202" s="583"/>
      <c r="AS202" s="583"/>
      <c r="AT202" s="585"/>
      <c r="AU202" s="585"/>
      <c r="AV202" s="585"/>
      <c r="AW202" s="585"/>
      <c r="AX202" s="673"/>
      <c r="AY202" s="380"/>
      <c r="AZ202" s="380"/>
      <c r="BA202" s="380"/>
      <c r="BB202" s="380"/>
      <c r="BC202" s="380"/>
      <c r="BD202" s="380"/>
      <c r="BE202" s="380"/>
      <c r="BF202" s="380"/>
      <c r="BG202" s="380"/>
      <c r="BH202" s="380"/>
      <c r="BI202" s="511"/>
      <c r="BJ202" s="380"/>
      <c r="BK202" s="380"/>
      <c r="BL202" s="380"/>
      <c r="BM202" s="380"/>
      <c r="BN202" s="380"/>
      <c r="BO202" s="380"/>
      <c r="BP202" s="380"/>
      <c r="BQ202" s="380"/>
      <c r="BR202" s="380"/>
    </row>
    <row r="203" spans="1:70" ht="12.75" customHeight="1" x14ac:dyDescent="0.25">
      <c r="A203" s="380"/>
      <c r="B203" s="380"/>
      <c r="C203" s="380"/>
      <c r="D203" s="380"/>
      <c r="E203" s="511"/>
      <c r="F203" s="511"/>
      <c r="G203" s="582"/>
      <c r="H203" s="511"/>
      <c r="I203" s="511"/>
      <c r="J203" s="582"/>
      <c r="K203" s="511"/>
      <c r="L203" s="511"/>
      <c r="M203" s="582"/>
      <c r="N203" s="582"/>
      <c r="O203" s="582"/>
      <c r="P203" s="582"/>
      <c r="Q203" s="511"/>
      <c r="R203" s="511"/>
      <c r="S203" s="511"/>
      <c r="T203" s="639"/>
      <c r="U203" s="511"/>
      <c r="V203" s="511"/>
      <c r="W203" s="511"/>
      <c r="X203" s="511"/>
      <c r="Y203" s="380"/>
      <c r="Z203" s="380"/>
      <c r="AA203" s="380"/>
      <c r="AB203" s="380"/>
      <c r="AC203" s="380"/>
      <c r="AD203" s="671"/>
      <c r="AE203" s="380"/>
      <c r="AF203" s="380"/>
      <c r="AG203" s="380"/>
      <c r="AH203" s="671"/>
      <c r="AI203" s="380"/>
      <c r="AJ203" s="583"/>
      <c r="AK203" s="583"/>
      <c r="AL203" s="511"/>
      <c r="AM203" s="584"/>
      <c r="AN203" s="584"/>
      <c r="AO203" s="584"/>
      <c r="AP203" s="671"/>
      <c r="AQ203" s="584"/>
      <c r="AR203" s="583"/>
      <c r="AS203" s="583"/>
      <c r="AT203" s="585"/>
      <c r="AU203" s="585"/>
      <c r="AV203" s="585"/>
      <c r="AW203" s="585"/>
      <c r="AX203" s="673"/>
      <c r="AY203" s="380"/>
      <c r="AZ203" s="380"/>
      <c r="BA203" s="380"/>
      <c r="BB203" s="380"/>
      <c r="BC203" s="380"/>
      <c r="BD203" s="380"/>
      <c r="BE203" s="380"/>
      <c r="BF203" s="380"/>
      <c r="BG203" s="380"/>
      <c r="BH203" s="380"/>
      <c r="BI203" s="511"/>
      <c r="BJ203" s="380"/>
      <c r="BK203" s="380"/>
      <c r="BL203" s="380"/>
      <c r="BM203" s="380"/>
      <c r="BN203" s="380"/>
      <c r="BO203" s="380"/>
      <c r="BP203" s="380"/>
      <c r="BQ203" s="380"/>
      <c r="BR203" s="380"/>
    </row>
    <row r="204" spans="1:70" ht="12.75" customHeight="1" x14ac:dyDescent="0.25">
      <c r="A204" s="380"/>
      <c r="B204" s="380"/>
      <c r="C204" s="380"/>
      <c r="D204" s="380"/>
      <c r="E204" s="511"/>
      <c r="F204" s="511"/>
      <c r="G204" s="582"/>
      <c r="H204" s="511"/>
      <c r="I204" s="511"/>
      <c r="J204" s="582"/>
      <c r="K204" s="511"/>
      <c r="L204" s="511"/>
      <c r="M204" s="582"/>
      <c r="N204" s="582"/>
      <c r="O204" s="582"/>
      <c r="P204" s="582"/>
      <c r="Q204" s="511"/>
      <c r="R204" s="511"/>
      <c r="S204" s="511"/>
      <c r="T204" s="639"/>
      <c r="U204" s="511"/>
      <c r="V204" s="511"/>
      <c r="W204" s="511"/>
      <c r="X204" s="511"/>
      <c r="Y204" s="380"/>
      <c r="Z204" s="380"/>
      <c r="AA204" s="380"/>
      <c r="AB204" s="380"/>
      <c r="AC204" s="380"/>
      <c r="AD204" s="671"/>
      <c r="AE204" s="380"/>
      <c r="AF204" s="380"/>
      <c r="AG204" s="380"/>
      <c r="AH204" s="671"/>
      <c r="AI204" s="380"/>
      <c r="AJ204" s="583"/>
      <c r="AK204" s="583"/>
      <c r="AL204" s="511"/>
      <c r="AM204" s="584"/>
      <c r="AN204" s="584"/>
      <c r="AO204" s="584"/>
      <c r="AP204" s="671"/>
      <c r="AQ204" s="584"/>
      <c r="AR204" s="583"/>
      <c r="AS204" s="583"/>
      <c r="AT204" s="585"/>
      <c r="AU204" s="585"/>
      <c r="AV204" s="585"/>
      <c r="AW204" s="585"/>
      <c r="AX204" s="673"/>
      <c r="AY204" s="380"/>
      <c r="AZ204" s="380"/>
      <c r="BA204" s="380"/>
      <c r="BB204" s="380"/>
      <c r="BC204" s="380"/>
      <c r="BD204" s="380"/>
      <c r="BE204" s="380"/>
      <c r="BF204" s="380"/>
      <c r="BG204" s="380"/>
      <c r="BH204" s="380"/>
      <c r="BI204" s="511"/>
      <c r="BJ204" s="380"/>
      <c r="BK204" s="380"/>
      <c r="BL204" s="380"/>
      <c r="BM204" s="380"/>
      <c r="BN204" s="380"/>
      <c r="BO204" s="380"/>
      <c r="BP204" s="380"/>
      <c r="BQ204" s="380"/>
      <c r="BR204" s="380"/>
    </row>
    <row r="205" spans="1:70" ht="12.75" customHeight="1" x14ac:dyDescent="0.25">
      <c r="A205" s="380"/>
      <c r="B205" s="380"/>
      <c r="C205" s="380"/>
      <c r="D205" s="380"/>
      <c r="E205" s="511"/>
      <c r="F205" s="511"/>
      <c r="G205" s="582"/>
      <c r="H205" s="511"/>
      <c r="I205" s="511"/>
      <c r="J205" s="582"/>
      <c r="K205" s="511"/>
      <c r="L205" s="511"/>
      <c r="M205" s="582"/>
      <c r="N205" s="582"/>
      <c r="O205" s="582"/>
      <c r="P205" s="582"/>
      <c r="Q205" s="511"/>
      <c r="R205" s="511"/>
      <c r="S205" s="511"/>
      <c r="T205" s="639"/>
      <c r="U205" s="511"/>
      <c r="V205" s="511"/>
      <c r="W205" s="511"/>
      <c r="X205" s="511"/>
      <c r="Y205" s="380"/>
      <c r="Z205" s="380"/>
      <c r="AA205" s="380"/>
      <c r="AB205" s="380"/>
      <c r="AC205" s="380"/>
      <c r="AD205" s="671"/>
      <c r="AE205" s="380"/>
      <c r="AF205" s="380"/>
      <c r="AG205" s="380"/>
      <c r="AH205" s="671"/>
      <c r="AI205" s="380"/>
      <c r="AJ205" s="583"/>
      <c r="AK205" s="583"/>
      <c r="AL205" s="511"/>
      <c r="AM205" s="584"/>
      <c r="AN205" s="584"/>
      <c r="AO205" s="584"/>
      <c r="AP205" s="671"/>
      <c r="AQ205" s="584"/>
      <c r="AR205" s="583"/>
      <c r="AS205" s="583"/>
      <c r="AT205" s="585"/>
      <c r="AU205" s="585"/>
      <c r="AV205" s="585"/>
      <c r="AW205" s="585"/>
      <c r="AX205" s="673"/>
      <c r="AY205" s="380"/>
      <c r="AZ205" s="380"/>
      <c r="BA205" s="380"/>
      <c r="BB205" s="380"/>
      <c r="BC205" s="380"/>
      <c r="BD205" s="380"/>
      <c r="BE205" s="380"/>
      <c r="BF205" s="380"/>
      <c r="BG205" s="380"/>
      <c r="BH205" s="380"/>
      <c r="BI205" s="511"/>
      <c r="BJ205" s="380"/>
      <c r="BK205" s="380"/>
      <c r="BL205" s="380"/>
      <c r="BM205" s="380"/>
      <c r="BN205" s="380"/>
      <c r="BO205" s="380"/>
      <c r="BP205" s="380"/>
      <c r="BQ205" s="380"/>
      <c r="BR205" s="380"/>
    </row>
    <row r="206" spans="1:70" ht="12.75" customHeight="1" x14ac:dyDescent="0.25">
      <c r="A206" s="380"/>
      <c r="B206" s="380"/>
      <c r="C206" s="380"/>
      <c r="D206" s="380"/>
      <c r="E206" s="511"/>
      <c r="F206" s="511"/>
      <c r="G206" s="582"/>
      <c r="H206" s="511"/>
      <c r="I206" s="511"/>
      <c r="J206" s="582"/>
      <c r="K206" s="511"/>
      <c r="L206" s="511"/>
      <c r="M206" s="582"/>
      <c r="N206" s="582"/>
      <c r="O206" s="582"/>
      <c r="P206" s="582"/>
      <c r="Q206" s="511"/>
      <c r="R206" s="511"/>
      <c r="S206" s="511"/>
      <c r="T206" s="639"/>
      <c r="U206" s="511"/>
      <c r="V206" s="511"/>
      <c r="W206" s="511"/>
      <c r="X206" s="511"/>
      <c r="Y206" s="380"/>
      <c r="Z206" s="380"/>
      <c r="AA206" s="380"/>
      <c r="AB206" s="380"/>
      <c r="AC206" s="380"/>
      <c r="AD206" s="671"/>
      <c r="AE206" s="380"/>
      <c r="AF206" s="380"/>
      <c r="AG206" s="380"/>
      <c r="AH206" s="671"/>
      <c r="AI206" s="380"/>
      <c r="AJ206" s="583"/>
      <c r="AK206" s="583"/>
      <c r="AL206" s="511"/>
      <c r="AM206" s="584"/>
      <c r="AN206" s="584"/>
      <c r="AO206" s="584"/>
      <c r="AP206" s="671"/>
      <c r="AQ206" s="584"/>
      <c r="AR206" s="583"/>
      <c r="AS206" s="583"/>
      <c r="AT206" s="585"/>
      <c r="AU206" s="585"/>
      <c r="AV206" s="585"/>
      <c r="AW206" s="585"/>
      <c r="AX206" s="673"/>
      <c r="AY206" s="380"/>
      <c r="AZ206" s="380"/>
      <c r="BA206" s="380"/>
      <c r="BB206" s="380"/>
      <c r="BC206" s="380"/>
      <c r="BD206" s="380"/>
      <c r="BE206" s="380"/>
      <c r="BF206" s="380"/>
      <c r="BG206" s="380"/>
      <c r="BH206" s="380"/>
      <c r="BI206" s="511"/>
      <c r="BJ206" s="380"/>
      <c r="BK206" s="380"/>
      <c r="BL206" s="380"/>
      <c r="BM206" s="380"/>
      <c r="BN206" s="380"/>
      <c r="BO206" s="380"/>
      <c r="BP206" s="380"/>
      <c r="BQ206" s="380"/>
      <c r="BR206" s="380"/>
    </row>
    <row r="207" spans="1:70" ht="12.75" customHeight="1" x14ac:dyDescent="0.25">
      <c r="A207" s="380"/>
      <c r="B207" s="380"/>
      <c r="C207" s="380"/>
      <c r="D207" s="380"/>
      <c r="E207" s="511"/>
      <c r="F207" s="511"/>
      <c r="G207" s="582"/>
      <c r="H207" s="511"/>
      <c r="I207" s="511"/>
      <c r="J207" s="582"/>
      <c r="K207" s="511"/>
      <c r="L207" s="511"/>
      <c r="M207" s="582"/>
      <c r="N207" s="582"/>
      <c r="O207" s="582"/>
      <c r="P207" s="582"/>
      <c r="Q207" s="511"/>
      <c r="R207" s="511"/>
      <c r="S207" s="511"/>
      <c r="T207" s="639"/>
      <c r="U207" s="511"/>
      <c r="V207" s="511"/>
      <c r="W207" s="511"/>
      <c r="X207" s="511"/>
      <c r="Y207" s="380"/>
      <c r="Z207" s="380"/>
      <c r="AA207" s="380"/>
      <c r="AB207" s="380"/>
      <c r="AC207" s="380"/>
      <c r="AD207" s="671"/>
      <c r="AE207" s="380"/>
      <c r="AF207" s="380"/>
      <c r="AG207" s="380"/>
      <c r="AH207" s="671"/>
      <c r="AI207" s="380"/>
      <c r="AJ207" s="583"/>
      <c r="AK207" s="583"/>
      <c r="AL207" s="511"/>
      <c r="AM207" s="584"/>
      <c r="AN207" s="584"/>
      <c r="AO207" s="584"/>
      <c r="AP207" s="671"/>
      <c r="AQ207" s="584"/>
      <c r="AR207" s="583"/>
      <c r="AS207" s="583"/>
      <c r="AT207" s="585"/>
      <c r="AU207" s="585"/>
      <c r="AV207" s="585"/>
      <c r="AW207" s="585"/>
      <c r="AX207" s="673"/>
      <c r="AY207" s="380"/>
      <c r="AZ207" s="380"/>
      <c r="BA207" s="380"/>
      <c r="BB207" s="380"/>
      <c r="BC207" s="380"/>
      <c r="BD207" s="380"/>
      <c r="BE207" s="380"/>
      <c r="BF207" s="380"/>
      <c r="BG207" s="380"/>
      <c r="BH207" s="380"/>
      <c r="BI207" s="511"/>
      <c r="BJ207" s="380"/>
      <c r="BK207" s="380"/>
      <c r="BL207" s="380"/>
      <c r="BM207" s="380"/>
      <c r="BN207" s="380"/>
      <c r="BO207" s="380"/>
      <c r="BP207" s="380"/>
      <c r="BQ207" s="380"/>
      <c r="BR207" s="380"/>
    </row>
    <row r="208" spans="1:70" ht="12.75" customHeight="1" x14ac:dyDescent="0.25">
      <c r="A208" s="380"/>
      <c r="B208" s="380"/>
      <c r="C208" s="380"/>
      <c r="D208" s="380"/>
      <c r="E208" s="511"/>
      <c r="F208" s="511"/>
      <c r="G208" s="582"/>
      <c r="H208" s="511"/>
      <c r="I208" s="511"/>
      <c r="J208" s="582"/>
      <c r="K208" s="511"/>
      <c r="L208" s="511"/>
      <c r="M208" s="582"/>
      <c r="N208" s="582"/>
      <c r="O208" s="582"/>
      <c r="P208" s="582"/>
      <c r="Q208" s="511"/>
      <c r="R208" s="511"/>
      <c r="S208" s="511"/>
      <c r="T208" s="639"/>
      <c r="U208" s="511"/>
      <c r="V208" s="511"/>
      <c r="W208" s="511"/>
      <c r="X208" s="511"/>
      <c r="Y208" s="380"/>
      <c r="Z208" s="380"/>
      <c r="AA208" s="380"/>
      <c r="AB208" s="380"/>
      <c r="AC208" s="380"/>
      <c r="AD208" s="671"/>
      <c r="AE208" s="380"/>
      <c r="AF208" s="380"/>
      <c r="AG208" s="380"/>
      <c r="AH208" s="671"/>
      <c r="AI208" s="380"/>
      <c r="AJ208" s="583"/>
      <c r="AK208" s="583"/>
      <c r="AL208" s="511"/>
      <c r="AM208" s="584"/>
      <c r="AN208" s="584"/>
      <c r="AO208" s="584"/>
      <c r="AP208" s="671"/>
      <c r="AQ208" s="584"/>
      <c r="AR208" s="583"/>
      <c r="AS208" s="583"/>
      <c r="AT208" s="585"/>
      <c r="AU208" s="585"/>
      <c r="AV208" s="585"/>
      <c r="AW208" s="585"/>
      <c r="AX208" s="673"/>
      <c r="AY208" s="380"/>
      <c r="AZ208" s="380"/>
      <c r="BA208" s="380"/>
      <c r="BB208" s="380"/>
      <c r="BC208" s="380"/>
      <c r="BD208" s="380"/>
      <c r="BE208" s="380"/>
      <c r="BF208" s="380"/>
      <c r="BG208" s="380"/>
      <c r="BH208" s="380"/>
      <c r="BI208" s="511"/>
      <c r="BJ208" s="380"/>
      <c r="BK208" s="380"/>
      <c r="BL208" s="380"/>
      <c r="BM208" s="380"/>
      <c r="BN208" s="380"/>
      <c r="BO208" s="380"/>
      <c r="BP208" s="380"/>
      <c r="BQ208" s="380"/>
      <c r="BR208" s="380"/>
    </row>
    <row r="209" spans="1:70" ht="12.75" customHeight="1" x14ac:dyDescent="0.25">
      <c r="A209" s="380"/>
      <c r="B209" s="380"/>
      <c r="C209" s="380"/>
      <c r="D209" s="380"/>
      <c r="E209" s="511"/>
      <c r="F209" s="511"/>
      <c r="G209" s="582"/>
      <c r="H209" s="511"/>
      <c r="I209" s="511"/>
      <c r="J209" s="582"/>
      <c r="K209" s="511"/>
      <c r="L209" s="511"/>
      <c r="M209" s="582"/>
      <c r="N209" s="582"/>
      <c r="O209" s="582"/>
      <c r="P209" s="582"/>
      <c r="Q209" s="511"/>
      <c r="R209" s="511"/>
      <c r="S209" s="511"/>
      <c r="T209" s="639"/>
      <c r="U209" s="511"/>
      <c r="V209" s="511"/>
      <c r="W209" s="511"/>
      <c r="X209" s="511"/>
      <c r="Y209" s="380"/>
      <c r="Z209" s="380"/>
      <c r="AA209" s="380"/>
      <c r="AB209" s="380"/>
      <c r="AC209" s="380"/>
      <c r="AD209" s="671"/>
      <c r="AE209" s="380"/>
      <c r="AF209" s="380"/>
      <c r="AG209" s="380"/>
      <c r="AH209" s="671"/>
      <c r="AI209" s="380"/>
      <c r="AJ209" s="583"/>
      <c r="AK209" s="583"/>
      <c r="AL209" s="511"/>
      <c r="AM209" s="584"/>
      <c r="AN209" s="584"/>
      <c r="AO209" s="584"/>
      <c r="AP209" s="671"/>
      <c r="AQ209" s="584"/>
      <c r="AR209" s="583"/>
      <c r="AS209" s="583"/>
      <c r="AT209" s="585"/>
      <c r="AU209" s="585"/>
      <c r="AV209" s="585"/>
      <c r="AW209" s="585"/>
      <c r="AX209" s="673"/>
      <c r="AY209" s="380"/>
      <c r="AZ209" s="380"/>
      <c r="BA209" s="380"/>
      <c r="BB209" s="380"/>
      <c r="BC209" s="380"/>
      <c r="BD209" s="380"/>
      <c r="BE209" s="380"/>
      <c r="BF209" s="380"/>
      <c r="BG209" s="380"/>
      <c r="BH209" s="380"/>
      <c r="BI209" s="511"/>
      <c r="BJ209" s="380"/>
      <c r="BK209" s="380"/>
      <c r="BL209" s="380"/>
      <c r="BM209" s="380"/>
      <c r="BN209" s="380"/>
      <c r="BO209" s="380"/>
      <c r="BP209" s="380"/>
      <c r="BQ209" s="380"/>
      <c r="BR209" s="380"/>
    </row>
    <row r="210" spans="1:70" ht="12.75" customHeight="1" x14ac:dyDescent="0.25">
      <c r="A210" s="380"/>
      <c r="B210" s="380"/>
      <c r="C210" s="380"/>
      <c r="D210" s="380"/>
      <c r="E210" s="511"/>
      <c r="F210" s="511"/>
      <c r="G210" s="582"/>
      <c r="H210" s="511"/>
      <c r="I210" s="511"/>
      <c r="J210" s="582"/>
      <c r="K210" s="511"/>
      <c r="L210" s="511"/>
      <c r="M210" s="582"/>
      <c r="N210" s="582"/>
      <c r="O210" s="582"/>
      <c r="P210" s="582"/>
      <c r="Q210" s="511"/>
      <c r="R210" s="511"/>
      <c r="S210" s="511"/>
      <c r="T210" s="639"/>
      <c r="U210" s="511"/>
      <c r="V210" s="511"/>
      <c r="W210" s="511"/>
      <c r="X210" s="511"/>
      <c r="Y210" s="380"/>
      <c r="Z210" s="380"/>
      <c r="AA210" s="380"/>
      <c r="AB210" s="380"/>
      <c r="AC210" s="380"/>
      <c r="AD210" s="671"/>
      <c r="AE210" s="380"/>
      <c r="AF210" s="380"/>
      <c r="AG210" s="380"/>
      <c r="AH210" s="671"/>
      <c r="AI210" s="380"/>
      <c r="AJ210" s="583"/>
      <c r="AK210" s="583"/>
      <c r="AL210" s="511"/>
      <c r="AM210" s="584"/>
      <c r="AN210" s="584"/>
      <c r="AO210" s="584"/>
      <c r="AP210" s="671"/>
      <c r="AQ210" s="584"/>
      <c r="AR210" s="583"/>
      <c r="AS210" s="583"/>
      <c r="AT210" s="585"/>
      <c r="AU210" s="585"/>
      <c r="AV210" s="585"/>
      <c r="AW210" s="585"/>
      <c r="AX210" s="673"/>
      <c r="AY210" s="380"/>
      <c r="AZ210" s="380"/>
      <c r="BA210" s="380"/>
      <c r="BB210" s="380"/>
      <c r="BC210" s="380"/>
      <c r="BD210" s="380"/>
      <c r="BE210" s="380"/>
      <c r="BF210" s="380"/>
      <c r="BG210" s="380"/>
      <c r="BH210" s="380"/>
      <c r="BI210" s="511"/>
      <c r="BJ210" s="380"/>
      <c r="BK210" s="380"/>
      <c r="BL210" s="380"/>
      <c r="BM210" s="380"/>
      <c r="BN210" s="380"/>
      <c r="BO210" s="380"/>
      <c r="BP210" s="380"/>
      <c r="BQ210" s="380"/>
      <c r="BR210" s="380"/>
    </row>
    <row r="211" spans="1:70" ht="12.75" customHeight="1" x14ac:dyDescent="0.25">
      <c r="A211" s="380"/>
      <c r="B211" s="380"/>
      <c r="C211" s="380"/>
      <c r="D211" s="380"/>
      <c r="E211" s="511"/>
      <c r="F211" s="511"/>
      <c r="G211" s="582"/>
      <c r="H211" s="511"/>
      <c r="I211" s="511"/>
      <c r="J211" s="582"/>
      <c r="K211" s="511"/>
      <c r="L211" s="511"/>
      <c r="M211" s="582"/>
      <c r="N211" s="582"/>
      <c r="O211" s="582"/>
      <c r="P211" s="582"/>
      <c r="Q211" s="511"/>
      <c r="R211" s="511"/>
      <c r="S211" s="511"/>
      <c r="T211" s="639"/>
      <c r="U211" s="511"/>
      <c r="V211" s="511"/>
      <c r="W211" s="511"/>
      <c r="X211" s="511"/>
      <c r="Y211" s="380"/>
      <c r="Z211" s="380"/>
      <c r="AA211" s="380"/>
      <c r="AB211" s="380"/>
      <c r="AC211" s="380"/>
      <c r="AD211" s="671"/>
      <c r="AE211" s="380"/>
      <c r="AF211" s="380"/>
      <c r="AG211" s="380"/>
      <c r="AH211" s="671"/>
      <c r="AI211" s="380"/>
      <c r="AJ211" s="583"/>
      <c r="AK211" s="583"/>
      <c r="AL211" s="511"/>
      <c r="AM211" s="584"/>
      <c r="AN211" s="584"/>
      <c r="AO211" s="584"/>
      <c r="AP211" s="671"/>
      <c r="AQ211" s="584"/>
      <c r="AR211" s="583"/>
      <c r="AS211" s="583"/>
      <c r="AT211" s="585"/>
      <c r="AU211" s="585"/>
      <c r="AV211" s="585"/>
      <c r="AW211" s="585"/>
      <c r="AX211" s="673"/>
      <c r="AY211" s="380"/>
      <c r="AZ211" s="380"/>
      <c r="BA211" s="380"/>
      <c r="BB211" s="380"/>
      <c r="BC211" s="380"/>
      <c r="BD211" s="380"/>
      <c r="BE211" s="380"/>
      <c r="BF211" s="380"/>
      <c r="BG211" s="380"/>
      <c r="BH211" s="380"/>
      <c r="BI211" s="511"/>
      <c r="BJ211" s="380"/>
      <c r="BK211" s="380"/>
      <c r="BL211" s="380"/>
      <c r="BM211" s="380"/>
      <c r="BN211" s="380"/>
      <c r="BO211" s="380"/>
      <c r="BP211" s="380"/>
      <c r="BQ211" s="380"/>
      <c r="BR211" s="380"/>
    </row>
    <row r="212" spans="1:70" ht="12.75" customHeight="1" x14ac:dyDescent="0.25">
      <c r="A212" s="380"/>
      <c r="B212" s="380"/>
      <c r="C212" s="380"/>
      <c r="D212" s="380"/>
      <c r="E212" s="511"/>
      <c r="F212" s="511"/>
      <c r="G212" s="582"/>
      <c r="H212" s="511"/>
      <c r="I212" s="511"/>
      <c r="J212" s="582"/>
      <c r="K212" s="511"/>
      <c r="L212" s="511"/>
      <c r="M212" s="582"/>
      <c r="N212" s="582"/>
      <c r="O212" s="582"/>
      <c r="P212" s="582"/>
      <c r="Q212" s="511"/>
      <c r="R212" s="511"/>
      <c r="S212" s="511"/>
      <c r="T212" s="639"/>
      <c r="U212" s="511"/>
      <c r="V212" s="511"/>
      <c r="W212" s="511"/>
      <c r="X212" s="511"/>
      <c r="Y212" s="380"/>
      <c r="Z212" s="380"/>
      <c r="AA212" s="380"/>
      <c r="AB212" s="380"/>
      <c r="AC212" s="380"/>
      <c r="AD212" s="671"/>
      <c r="AE212" s="380"/>
      <c r="AF212" s="380"/>
      <c r="AG212" s="380"/>
      <c r="AH212" s="671"/>
      <c r="AI212" s="380"/>
      <c r="AJ212" s="583"/>
      <c r="AK212" s="583"/>
      <c r="AL212" s="511"/>
      <c r="AM212" s="584"/>
      <c r="AN212" s="584"/>
      <c r="AO212" s="584"/>
      <c r="AP212" s="671"/>
      <c r="AQ212" s="584"/>
      <c r="AR212" s="583"/>
      <c r="AS212" s="583"/>
      <c r="AT212" s="585"/>
      <c r="AU212" s="585"/>
      <c r="AV212" s="585"/>
      <c r="AW212" s="585"/>
      <c r="AX212" s="673"/>
      <c r="AY212" s="380"/>
      <c r="AZ212" s="380"/>
      <c r="BA212" s="380"/>
      <c r="BB212" s="380"/>
      <c r="BC212" s="380"/>
      <c r="BD212" s="380"/>
      <c r="BE212" s="380"/>
      <c r="BF212" s="380"/>
      <c r="BG212" s="380"/>
      <c r="BH212" s="380"/>
      <c r="BI212" s="511"/>
      <c r="BJ212" s="380"/>
      <c r="BK212" s="380"/>
      <c r="BL212" s="380"/>
      <c r="BM212" s="380"/>
      <c r="BN212" s="380"/>
      <c r="BO212" s="380"/>
      <c r="BP212" s="380"/>
      <c r="BQ212" s="380"/>
      <c r="BR212" s="380"/>
    </row>
    <row r="213" spans="1:70" ht="12.75" customHeight="1" x14ac:dyDescent="0.25">
      <c r="A213" s="380"/>
      <c r="B213" s="380"/>
      <c r="C213" s="380"/>
      <c r="D213" s="380"/>
      <c r="E213" s="511"/>
      <c r="F213" s="511"/>
      <c r="G213" s="582"/>
      <c r="H213" s="511"/>
      <c r="I213" s="511"/>
      <c r="J213" s="582"/>
      <c r="K213" s="511"/>
      <c r="L213" s="511"/>
      <c r="M213" s="582"/>
      <c r="N213" s="582"/>
      <c r="O213" s="582"/>
      <c r="P213" s="582"/>
      <c r="Q213" s="511"/>
      <c r="R213" s="511"/>
      <c r="S213" s="511"/>
      <c r="T213" s="639"/>
      <c r="U213" s="511"/>
      <c r="V213" s="511"/>
      <c r="W213" s="511"/>
      <c r="X213" s="511"/>
      <c r="Y213" s="380"/>
      <c r="Z213" s="380"/>
      <c r="AA213" s="380"/>
      <c r="AB213" s="380"/>
      <c r="AC213" s="380"/>
      <c r="AD213" s="671"/>
      <c r="AE213" s="380"/>
      <c r="AF213" s="380"/>
      <c r="AG213" s="380"/>
      <c r="AH213" s="671"/>
      <c r="AI213" s="380"/>
      <c r="AJ213" s="583"/>
      <c r="AK213" s="583"/>
      <c r="AL213" s="511"/>
      <c r="AM213" s="584"/>
      <c r="AN213" s="584"/>
      <c r="AO213" s="584"/>
      <c r="AP213" s="671"/>
      <c r="AQ213" s="584"/>
      <c r="AR213" s="583"/>
      <c r="AS213" s="583"/>
      <c r="AT213" s="585"/>
      <c r="AU213" s="585"/>
      <c r="AV213" s="585"/>
      <c r="AW213" s="585"/>
      <c r="AX213" s="673"/>
      <c r="AY213" s="380"/>
      <c r="AZ213" s="380"/>
      <c r="BA213" s="380"/>
      <c r="BB213" s="380"/>
      <c r="BC213" s="380"/>
      <c r="BD213" s="380"/>
      <c r="BE213" s="380"/>
      <c r="BF213" s="380"/>
      <c r="BG213" s="380"/>
      <c r="BH213" s="380"/>
      <c r="BI213" s="511"/>
      <c r="BJ213" s="380"/>
      <c r="BK213" s="380"/>
      <c r="BL213" s="380"/>
      <c r="BM213" s="380"/>
      <c r="BN213" s="380"/>
      <c r="BO213" s="380"/>
      <c r="BP213" s="380"/>
      <c r="BQ213" s="380"/>
      <c r="BR213" s="380"/>
    </row>
    <row r="214" spans="1:70" ht="12.75" customHeight="1" x14ac:dyDescent="0.25">
      <c r="A214" s="380"/>
      <c r="B214" s="380"/>
      <c r="C214" s="380"/>
      <c r="D214" s="380"/>
      <c r="E214" s="511"/>
      <c r="F214" s="511"/>
      <c r="G214" s="582"/>
      <c r="H214" s="511"/>
      <c r="I214" s="511"/>
      <c r="J214" s="582"/>
      <c r="K214" s="511"/>
      <c r="L214" s="511"/>
      <c r="M214" s="582"/>
      <c r="N214" s="582"/>
      <c r="O214" s="582"/>
      <c r="P214" s="582"/>
      <c r="Q214" s="511"/>
      <c r="R214" s="511"/>
      <c r="S214" s="511"/>
      <c r="T214" s="639"/>
      <c r="U214" s="511"/>
      <c r="V214" s="511"/>
      <c r="W214" s="511"/>
      <c r="X214" s="511"/>
      <c r="Y214" s="380"/>
      <c r="Z214" s="380"/>
      <c r="AA214" s="380"/>
      <c r="AB214" s="380"/>
      <c r="AC214" s="380"/>
      <c r="AD214" s="671"/>
      <c r="AE214" s="380"/>
      <c r="AF214" s="380"/>
      <c r="AG214" s="380"/>
      <c r="AH214" s="671"/>
      <c r="AI214" s="380"/>
      <c r="AJ214" s="583"/>
      <c r="AK214" s="583"/>
      <c r="AL214" s="511"/>
      <c r="AM214" s="584"/>
      <c r="AN214" s="584"/>
      <c r="AO214" s="584"/>
      <c r="AP214" s="671"/>
      <c r="AQ214" s="584"/>
      <c r="AR214" s="583"/>
      <c r="AS214" s="583"/>
      <c r="AT214" s="585"/>
      <c r="AU214" s="585"/>
      <c r="AV214" s="585"/>
      <c r="AW214" s="585"/>
      <c r="AX214" s="673"/>
      <c r="AY214" s="380"/>
      <c r="AZ214" s="380"/>
      <c r="BA214" s="380"/>
      <c r="BB214" s="380"/>
      <c r="BC214" s="380"/>
      <c r="BD214" s="380"/>
      <c r="BE214" s="380"/>
      <c r="BF214" s="380"/>
      <c r="BG214" s="380"/>
      <c r="BH214" s="380"/>
      <c r="BI214" s="511"/>
      <c r="BJ214" s="380"/>
      <c r="BK214" s="380"/>
      <c r="BL214" s="380"/>
      <c r="BM214" s="380"/>
      <c r="BN214" s="380"/>
      <c r="BO214" s="380"/>
      <c r="BP214" s="380"/>
      <c r="BQ214" s="380"/>
      <c r="BR214" s="380"/>
    </row>
    <row r="215" spans="1:70" ht="12.75" customHeight="1" x14ac:dyDescent="0.25">
      <c r="A215" s="380"/>
      <c r="B215" s="380"/>
      <c r="C215" s="380"/>
      <c r="D215" s="380"/>
      <c r="E215" s="511"/>
      <c r="F215" s="511"/>
      <c r="G215" s="582"/>
      <c r="H215" s="511"/>
      <c r="I215" s="511"/>
      <c r="J215" s="582"/>
      <c r="K215" s="511"/>
      <c r="L215" s="511"/>
      <c r="M215" s="582"/>
      <c r="N215" s="582"/>
      <c r="O215" s="582"/>
      <c r="P215" s="582"/>
      <c r="Q215" s="511"/>
      <c r="R215" s="511"/>
      <c r="S215" s="511"/>
      <c r="T215" s="639"/>
      <c r="U215" s="511"/>
      <c r="V215" s="511"/>
      <c r="W215" s="511"/>
      <c r="X215" s="511"/>
      <c r="Y215" s="380"/>
      <c r="Z215" s="380"/>
      <c r="AA215" s="380"/>
      <c r="AB215" s="380"/>
      <c r="AC215" s="380"/>
      <c r="AD215" s="671"/>
      <c r="AE215" s="380"/>
      <c r="AF215" s="380"/>
      <c r="AG215" s="380"/>
      <c r="AH215" s="671"/>
      <c r="AI215" s="380"/>
      <c r="AJ215" s="583"/>
      <c r="AK215" s="583"/>
      <c r="AL215" s="511"/>
      <c r="AM215" s="584"/>
      <c r="AN215" s="584"/>
      <c r="AO215" s="584"/>
      <c r="AP215" s="671"/>
      <c r="AQ215" s="584"/>
      <c r="AR215" s="583"/>
      <c r="AS215" s="583"/>
      <c r="AT215" s="585"/>
      <c r="AU215" s="585"/>
      <c r="AV215" s="585"/>
      <c r="AW215" s="585"/>
      <c r="AX215" s="673"/>
      <c r="AY215" s="380"/>
      <c r="AZ215" s="380"/>
      <c r="BA215" s="380"/>
      <c r="BB215" s="380"/>
      <c r="BC215" s="380"/>
      <c r="BD215" s="380"/>
      <c r="BE215" s="380"/>
      <c r="BF215" s="380"/>
      <c r="BG215" s="380"/>
      <c r="BH215" s="380"/>
      <c r="BI215" s="511"/>
      <c r="BJ215" s="380"/>
      <c r="BK215" s="380"/>
      <c r="BL215" s="380"/>
      <c r="BM215" s="380"/>
      <c r="BN215" s="380"/>
      <c r="BO215" s="380"/>
      <c r="BP215" s="380"/>
      <c r="BQ215" s="380"/>
      <c r="BR215" s="380"/>
    </row>
    <row r="216" spans="1:70" ht="12.75" customHeight="1" x14ac:dyDescent="0.25">
      <c r="A216" s="380"/>
      <c r="B216" s="380"/>
      <c r="C216" s="380"/>
      <c r="D216" s="380"/>
      <c r="E216" s="511"/>
      <c r="F216" s="511"/>
      <c r="G216" s="582"/>
      <c r="H216" s="511"/>
      <c r="I216" s="511"/>
      <c r="J216" s="582"/>
      <c r="K216" s="511"/>
      <c r="L216" s="511"/>
      <c r="M216" s="582"/>
      <c r="N216" s="582"/>
      <c r="O216" s="582"/>
      <c r="P216" s="582"/>
      <c r="Q216" s="511"/>
      <c r="R216" s="511"/>
      <c r="S216" s="511"/>
      <c r="T216" s="639"/>
      <c r="U216" s="511"/>
      <c r="V216" s="511"/>
      <c r="W216" s="511"/>
      <c r="X216" s="511"/>
      <c r="Y216" s="380"/>
      <c r="Z216" s="380"/>
      <c r="AA216" s="380"/>
      <c r="AB216" s="380"/>
      <c r="AC216" s="380"/>
      <c r="AD216" s="671"/>
      <c r="AE216" s="380"/>
      <c r="AF216" s="380"/>
      <c r="AG216" s="380"/>
      <c r="AH216" s="671"/>
      <c r="AI216" s="380"/>
      <c r="AJ216" s="583"/>
      <c r="AK216" s="583"/>
      <c r="AL216" s="511"/>
      <c r="AM216" s="584"/>
      <c r="AN216" s="584"/>
      <c r="AO216" s="584"/>
      <c r="AP216" s="671"/>
      <c r="AQ216" s="584"/>
      <c r="AR216" s="583"/>
      <c r="AS216" s="583"/>
      <c r="AT216" s="585"/>
      <c r="AU216" s="585"/>
      <c r="AV216" s="585"/>
      <c r="AW216" s="585"/>
      <c r="AX216" s="673"/>
      <c r="AY216" s="380"/>
      <c r="AZ216" s="380"/>
      <c r="BA216" s="380"/>
      <c r="BB216" s="380"/>
      <c r="BC216" s="380"/>
      <c r="BD216" s="380"/>
      <c r="BE216" s="380"/>
      <c r="BF216" s="380"/>
      <c r="BG216" s="380"/>
      <c r="BH216" s="380"/>
      <c r="BI216" s="511"/>
      <c r="BJ216" s="380"/>
      <c r="BK216" s="380"/>
      <c r="BL216" s="380"/>
      <c r="BM216" s="380"/>
      <c r="BN216" s="380"/>
      <c r="BO216" s="380"/>
      <c r="BP216" s="380"/>
      <c r="BQ216" s="380"/>
      <c r="BR216" s="380"/>
    </row>
    <row r="217" spans="1:70" ht="12.75" customHeight="1" x14ac:dyDescent="0.25">
      <c r="A217" s="380"/>
      <c r="B217" s="380"/>
      <c r="C217" s="380"/>
      <c r="D217" s="380"/>
      <c r="E217" s="511"/>
      <c r="F217" s="511"/>
      <c r="G217" s="582"/>
      <c r="H217" s="511"/>
      <c r="I217" s="511"/>
      <c r="J217" s="582"/>
      <c r="K217" s="511"/>
      <c r="L217" s="511"/>
      <c r="M217" s="582"/>
      <c r="N217" s="582"/>
      <c r="O217" s="582"/>
      <c r="P217" s="582"/>
      <c r="Q217" s="511"/>
      <c r="R217" s="511"/>
      <c r="S217" s="511"/>
      <c r="T217" s="639"/>
      <c r="U217" s="511"/>
      <c r="V217" s="511"/>
      <c r="W217" s="511"/>
      <c r="X217" s="511"/>
      <c r="Y217" s="380"/>
      <c r="Z217" s="380"/>
      <c r="AA217" s="380"/>
      <c r="AB217" s="380"/>
      <c r="AC217" s="380"/>
      <c r="AD217" s="671"/>
      <c r="AE217" s="380"/>
      <c r="AF217" s="380"/>
      <c r="AG217" s="380"/>
      <c r="AH217" s="671"/>
      <c r="AI217" s="380"/>
      <c r="AJ217" s="583"/>
      <c r="AK217" s="583"/>
      <c r="AL217" s="511"/>
      <c r="AM217" s="584"/>
      <c r="AN217" s="584"/>
      <c r="AO217" s="584"/>
      <c r="AP217" s="671"/>
      <c r="AQ217" s="584"/>
      <c r="AR217" s="583"/>
      <c r="AS217" s="583"/>
      <c r="AT217" s="585"/>
      <c r="AU217" s="585"/>
      <c r="AV217" s="585"/>
      <c r="AW217" s="585"/>
      <c r="AX217" s="673"/>
      <c r="AY217" s="380"/>
      <c r="AZ217" s="380"/>
      <c r="BA217" s="380"/>
      <c r="BB217" s="380"/>
      <c r="BC217" s="380"/>
      <c r="BD217" s="380"/>
      <c r="BE217" s="380"/>
      <c r="BF217" s="380"/>
      <c r="BG217" s="380"/>
      <c r="BH217" s="380"/>
      <c r="BI217" s="511"/>
      <c r="BJ217" s="380"/>
      <c r="BK217" s="380"/>
      <c r="BL217" s="380"/>
      <c r="BM217" s="380"/>
      <c r="BN217" s="380"/>
      <c r="BO217" s="380"/>
      <c r="BP217" s="380"/>
      <c r="BQ217" s="380"/>
      <c r="BR217" s="380"/>
    </row>
    <row r="218" spans="1:70" ht="12.75" customHeight="1" x14ac:dyDescent="0.25">
      <c r="A218" s="380"/>
      <c r="B218" s="380"/>
      <c r="C218" s="380"/>
      <c r="D218" s="380"/>
      <c r="E218" s="511"/>
      <c r="F218" s="511"/>
      <c r="G218" s="582"/>
      <c r="H218" s="511"/>
      <c r="I218" s="511"/>
      <c r="J218" s="582"/>
      <c r="K218" s="511"/>
      <c r="L218" s="511"/>
      <c r="M218" s="582"/>
      <c r="N218" s="582"/>
      <c r="O218" s="582"/>
      <c r="P218" s="582"/>
      <c r="Q218" s="511"/>
      <c r="R218" s="511"/>
      <c r="S218" s="511"/>
      <c r="T218" s="639"/>
      <c r="U218" s="511"/>
      <c r="V218" s="511"/>
      <c r="W218" s="511"/>
      <c r="X218" s="511"/>
      <c r="Y218" s="380"/>
      <c r="Z218" s="380"/>
      <c r="AA218" s="380"/>
      <c r="AB218" s="380"/>
      <c r="AC218" s="380"/>
      <c r="AD218" s="671"/>
      <c r="AE218" s="380"/>
      <c r="AF218" s="380"/>
      <c r="AG218" s="380"/>
      <c r="AH218" s="671"/>
      <c r="AI218" s="380"/>
      <c r="AJ218" s="583"/>
      <c r="AK218" s="583"/>
      <c r="AL218" s="511"/>
      <c r="AM218" s="584"/>
      <c r="AN218" s="584"/>
      <c r="AO218" s="584"/>
      <c r="AP218" s="671"/>
      <c r="AQ218" s="584"/>
      <c r="AR218" s="583"/>
      <c r="AS218" s="583"/>
      <c r="AT218" s="585"/>
      <c r="AU218" s="585"/>
      <c r="AV218" s="585"/>
      <c r="AW218" s="585"/>
      <c r="AX218" s="673"/>
      <c r="AY218" s="380"/>
      <c r="AZ218" s="380"/>
      <c r="BA218" s="380"/>
      <c r="BB218" s="380"/>
      <c r="BC218" s="380"/>
      <c r="BD218" s="380"/>
      <c r="BE218" s="380"/>
      <c r="BF218" s="380"/>
      <c r="BG218" s="380"/>
      <c r="BH218" s="380"/>
      <c r="BI218" s="511"/>
      <c r="BJ218" s="380"/>
      <c r="BK218" s="380"/>
      <c r="BL218" s="380"/>
      <c r="BM218" s="380"/>
      <c r="BN218" s="380"/>
      <c r="BO218" s="380"/>
      <c r="BP218" s="380"/>
      <c r="BQ218" s="380"/>
      <c r="BR218" s="380"/>
    </row>
    <row r="219" spans="1:70" ht="12.75" customHeight="1" x14ac:dyDescent="0.25">
      <c r="A219" s="380"/>
      <c r="B219" s="380"/>
      <c r="C219" s="380"/>
      <c r="D219" s="380"/>
      <c r="E219" s="511"/>
      <c r="F219" s="511"/>
      <c r="G219" s="582"/>
      <c r="H219" s="511"/>
      <c r="I219" s="511"/>
      <c r="J219" s="582"/>
      <c r="K219" s="511"/>
      <c r="L219" s="511"/>
      <c r="M219" s="582"/>
      <c r="N219" s="582"/>
      <c r="O219" s="582"/>
      <c r="P219" s="582"/>
      <c r="Q219" s="511"/>
      <c r="R219" s="511"/>
      <c r="S219" s="511"/>
      <c r="T219" s="639"/>
      <c r="U219" s="511"/>
      <c r="V219" s="511"/>
      <c r="W219" s="511"/>
      <c r="X219" s="511"/>
      <c r="Y219" s="380"/>
      <c r="Z219" s="380"/>
      <c r="AA219" s="380"/>
      <c r="AB219" s="380"/>
      <c r="AC219" s="380"/>
      <c r="AD219" s="671"/>
      <c r="AE219" s="380"/>
      <c r="AF219" s="380"/>
      <c r="AG219" s="380"/>
      <c r="AH219" s="671"/>
      <c r="AI219" s="380"/>
      <c r="AJ219" s="583"/>
      <c r="AK219" s="583"/>
      <c r="AL219" s="511"/>
      <c r="AM219" s="584"/>
      <c r="AN219" s="584"/>
      <c r="AO219" s="584"/>
      <c r="AP219" s="671"/>
      <c r="AQ219" s="584"/>
      <c r="AR219" s="583"/>
      <c r="AS219" s="583"/>
      <c r="AT219" s="585"/>
      <c r="AU219" s="585"/>
      <c r="AV219" s="585"/>
      <c r="AW219" s="585"/>
      <c r="AX219" s="673"/>
      <c r="AY219" s="380"/>
      <c r="AZ219" s="380"/>
      <c r="BA219" s="380"/>
      <c r="BB219" s="380"/>
      <c r="BC219" s="380"/>
      <c r="BD219" s="380"/>
      <c r="BE219" s="380"/>
      <c r="BF219" s="380"/>
      <c r="BG219" s="380"/>
      <c r="BH219" s="380"/>
      <c r="BI219" s="511"/>
      <c r="BJ219" s="380"/>
      <c r="BK219" s="380"/>
      <c r="BL219" s="380"/>
      <c r="BM219" s="380"/>
      <c r="BN219" s="380"/>
      <c r="BO219" s="380"/>
      <c r="BP219" s="380"/>
      <c r="BQ219" s="380"/>
      <c r="BR219" s="380"/>
    </row>
    <row r="220" spans="1:70" ht="12.75" customHeight="1" x14ac:dyDescent="0.25">
      <c r="A220" s="380"/>
      <c r="B220" s="380"/>
      <c r="C220" s="380"/>
      <c r="D220" s="380"/>
      <c r="E220" s="511"/>
      <c r="F220" s="511"/>
      <c r="G220" s="582"/>
      <c r="H220" s="511"/>
      <c r="I220" s="511"/>
      <c r="J220" s="582"/>
      <c r="K220" s="511"/>
      <c r="L220" s="511"/>
      <c r="M220" s="582"/>
      <c r="N220" s="582"/>
      <c r="O220" s="582"/>
      <c r="P220" s="582"/>
      <c r="Q220" s="511"/>
      <c r="R220" s="511"/>
      <c r="S220" s="511"/>
      <c r="T220" s="639"/>
      <c r="U220" s="511"/>
      <c r="V220" s="511"/>
      <c r="W220" s="511"/>
      <c r="X220" s="511"/>
      <c r="Y220" s="380"/>
      <c r="Z220" s="380"/>
      <c r="AA220" s="380"/>
      <c r="AB220" s="380"/>
      <c r="AC220" s="380"/>
      <c r="AD220" s="671"/>
      <c r="AE220" s="380"/>
      <c r="AF220" s="380"/>
      <c r="AG220" s="380"/>
      <c r="AH220" s="671"/>
      <c r="AI220" s="380"/>
      <c r="AJ220" s="583"/>
      <c r="AK220" s="583"/>
      <c r="AL220" s="511"/>
      <c r="AM220" s="584"/>
      <c r="AN220" s="584"/>
      <c r="AO220" s="584"/>
      <c r="AP220" s="671"/>
      <c r="AQ220" s="584"/>
      <c r="AR220" s="583"/>
      <c r="AS220" s="583"/>
      <c r="AT220" s="585"/>
      <c r="AU220" s="585"/>
      <c r="AV220" s="585"/>
      <c r="AW220" s="585"/>
      <c r="AX220" s="673"/>
      <c r="AY220" s="380"/>
      <c r="AZ220" s="380"/>
      <c r="BA220" s="380"/>
      <c r="BB220" s="380"/>
      <c r="BC220" s="380"/>
      <c r="BD220" s="380"/>
      <c r="BE220" s="380"/>
      <c r="BF220" s="380"/>
      <c r="BG220" s="380"/>
      <c r="BH220" s="380"/>
      <c r="BI220" s="511"/>
      <c r="BJ220" s="380"/>
      <c r="BK220" s="380"/>
      <c r="BL220" s="380"/>
      <c r="BM220" s="380"/>
      <c r="BN220" s="380"/>
      <c r="BO220" s="380"/>
      <c r="BP220" s="380"/>
      <c r="BQ220" s="380"/>
      <c r="BR220" s="380"/>
    </row>
    <row r="221" spans="1:70" ht="12.75" customHeight="1" x14ac:dyDescent="0.25">
      <c r="A221" s="380"/>
      <c r="B221" s="380"/>
      <c r="C221" s="380"/>
      <c r="D221" s="380"/>
      <c r="E221" s="511"/>
      <c r="F221" s="511"/>
      <c r="G221" s="582"/>
      <c r="H221" s="511"/>
      <c r="I221" s="511"/>
      <c r="J221" s="582"/>
      <c r="K221" s="511"/>
      <c r="L221" s="511"/>
      <c r="M221" s="582"/>
      <c r="N221" s="582"/>
      <c r="O221" s="582"/>
      <c r="P221" s="582"/>
      <c r="Q221" s="511"/>
      <c r="R221" s="511"/>
      <c r="S221" s="511"/>
      <c r="T221" s="639"/>
      <c r="U221" s="511"/>
      <c r="V221" s="511"/>
      <c r="W221" s="511"/>
      <c r="X221" s="511"/>
      <c r="Y221" s="380"/>
      <c r="Z221" s="380"/>
      <c r="AA221" s="380"/>
      <c r="AB221" s="380"/>
      <c r="AC221" s="380"/>
      <c r="AD221" s="671"/>
      <c r="AE221" s="380"/>
      <c r="AF221" s="380"/>
      <c r="AG221" s="380"/>
      <c r="AH221" s="671"/>
      <c r="AI221" s="380"/>
      <c r="AJ221" s="583"/>
      <c r="AK221" s="583"/>
      <c r="AL221" s="511"/>
      <c r="AM221" s="584"/>
      <c r="AN221" s="584"/>
      <c r="AO221" s="584"/>
      <c r="AP221" s="671"/>
      <c r="AQ221" s="584"/>
      <c r="AR221" s="583"/>
      <c r="AS221" s="583"/>
      <c r="AT221" s="585"/>
      <c r="AU221" s="585"/>
      <c r="AV221" s="585"/>
      <c r="AW221" s="585"/>
      <c r="AX221" s="673"/>
      <c r="AY221" s="380"/>
      <c r="AZ221" s="380"/>
      <c r="BA221" s="380"/>
      <c r="BB221" s="380"/>
      <c r="BC221" s="380"/>
      <c r="BD221" s="380"/>
      <c r="BE221" s="380"/>
      <c r="BF221" s="380"/>
      <c r="BG221" s="380"/>
      <c r="BH221" s="380"/>
      <c r="BI221" s="511"/>
      <c r="BJ221" s="380"/>
      <c r="BK221" s="380"/>
      <c r="BL221" s="380"/>
      <c r="BM221" s="380"/>
      <c r="BN221" s="380"/>
      <c r="BO221" s="380"/>
      <c r="BP221" s="380"/>
      <c r="BQ221" s="380"/>
      <c r="BR221" s="380"/>
    </row>
    <row r="222" spans="1:70" ht="12.75" customHeight="1" x14ac:dyDescent="0.25">
      <c r="A222" s="380"/>
      <c r="B222" s="380"/>
      <c r="C222" s="380"/>
      <c r="D222" s="380"/>
      <c r="E222" s="511"/>
      <c r="F222" s="511"/>
      <c r="G222" s="582"/>
      <c r="H222" s="511"/>
      <c r="I222" s="511"/>
      <c r="J222" s="582"/>
      <c r="K222" s="511"/>
      <c r="L222" s="511"/>
      <c r="M222" s="582"/>
      <c r="N222" s="582"/>
      <c r="O222" s="582"/>
      <c r="P222" s="582"/>
      <c r="Q222" s="511"/>
      <c r="R222" s="511"/>
      <c r="S222" s="511"/>
      <c r="T222" s="639"/>
      <c r="U222" s="511"/>
      <c r="V222" s="511"/>
      <c r="W222" s="511"/>
      <c r="X222" s="511"/>
      <c r="Y222" s="380"/>
      <c r="Z222" s="380"/>
      <c r="AA222" s="380"/>
      <c r="AB222" s="380"/>
      <c r="AC222" s="380"/>
      <c r="AD222" s="671"/>
      <c r="AE222" s="380"/>
      <c r="AF222" s="380"/>
      <c r="AG222" s="380"/>
      <c r="AH222" s="671"/>
      <c r="AI222" s="380"/>
      <c r="AJ222" s="583"/>
      <c r="AK222" s="583"/>
      <c r="AL222" s="511"/>
      <c r="AM222" s="584"/>
      <c r="AN222" s="584"/>
      <c r="AO222" s="584"/>
      <c r="AP222" s="671"/>
      <c r="AQ222" s="584"/>
      <c r="AR222" s="583"/>
      <c r="AS222" s="583"/>
      <c r="AT222" s="585"/>
      <c r="AU222" s="585"/>
      <c r="AV222" s="585"/>
      <c r="AW222" s="585"/>
      <c r="AX222" s="673"/>
      <c r="AY222" s="380"/>
      <c r="AZ222" s="380"/>
      <c r="BA222" s="380"/>
      <c r="BB222" s="380"/>
      <c r="BC222" s="380"/>
      <c r="BD222" s="380"/>
      <c r="BE222" s="380"/>
      <c r="BF222" s="380"/>
      <c r="BG222" s="380"/>
      <c r="BH222" s="380"/>
      <c r="BI222" s="511"/>
      <c r="BJ222" s="380"/>
      <c r="BK222" s="380"/>
      <c r="BL222" s="380"/>
      <c r="BM222" s="380"/>
      <c r="BN222" s="380"/>
      <c r="BO222" s="380"/>
      <c r="BP222" s="380"/>
      <c r="BQ222" s="380"/>
      <c r="BR222" s="380"/>
    </row>
    <row r="223" spans="1:70" ht="12.75" customHeight="1" x14ac:dyDescent="0.25">
      <c r="A223" s="380"/>
      <c r="B223" s="380"/>
      <c r="C223" s="380"/>
      <c r="D223" s="380"/>
      <c r="E223" s="511"/>
      <c r="F223" s="511"/>
      <c r="G223" s="582"/>
      <c r="H223" s="511"/>
      <c r="I223" s="511"/>
      <c r="J223" s="582"/>
      <c r="K223" s="511"/>
      <c r="L223" s="511"/>
      <c r="M223" s="582"/>
      <c r="N223" s="582"/>
      <c r="O223" s="582"/>
      <c r="P223" s="582"/>
      <c r="Q223" s="511"/>
      <c r="R223" s="511"/>
      <c r="S223" s="511"/>
      <c r="T223" s="639"/>
      <c r="U223" s="511"/>
      <c r="V223" s="511"/>
      <c r="W223" s="511"/>
      <c r="X223" s="511"/>
      <c r="Y223" s="380"/>
      <c r="Z223" s="380"/>
      <c r="AA223" s="380"/>
      <c r="AB223" s="380"/>
      <c r="AC223" s="380"/>
      <c r="AD223" s="671"/>
      <c r="AE223" s="380"/>
      <c r="AF223" s="380"/>
      <c r="AG223" s="380"/>
      <c r="AH223" s="671"/>
      <c r="AI223" s="380"/>
      <c r="AJ223" s="583"/>
      <c r="AK223" s="583"/>
      <c r="AL223" s="511"/>
      <c r="AM223" s="584"/>
      <c r="AN223" s="584"/>
      <c r="AO223" s="584"/>
      <c r="AP223" s="671"/>
      <c r="AQ223" s="584"/>
      <c r="AR223" s="583"/>
      <c r="AS223" s="583"/>
      <c r="AT223" s="585"/>
      <c r="AU223" s="585"/>
      <c r="AV223" s="585"/>
      <c r="AW223" s="585"/>
      <c r="AX223" s="673"/>
      <c r="AY223" s="380"/>
      <c r="AZ223" s="380"/>
      <c r="BA223" s="380"/>
      <c r="BB223" s="380"/>
      <c r="BC223" s="380"/>
      <c r="BD223" s="380"/>
      <c r="BE223" s="380"/>
      <c r="BF223" s="380"/>
      <c r="BG223" s="380"/>
      <c r="BH223" s="380"/>
      <c r="BI223" s="511"/>
      <c r="BJ223" s="380"/>
      <c r="BK223" s="380"/>
      <c r="BL223" s="380"/>
      <c r="BM223" s="380"/>
      <c r="BN223" s="380"/>
      <c r="BO223" s="380"/>
      <c r="BP223" s="380"/>
      <c r="BQ223" s="380"/>
      <c r="BR223" s="380"/>
    </row>
    <row r="224" spans="1:70" ht="12.75" customHeight="1" x14ac:dyDescent="0.25">
      <c r="A224" s="380"/>
      <c r="B224" s="380"/>
      <c r="C224" s="380"/>
      <c r="D224" s="380"/>
      <c r="E224" s="511"/>
      <c r="F224" s="511"/>
      <c r="G224" s="582"/>
      <c r="H224" s="511"/>
      <c r="I224" s="511"/>
      <c r="J224" s="582"/>
      <c r="K224" s="511"/>
      <c r="L224" s="511"/>
      <c r="M224" s="582"/>
      <c r="N224" s="582"/>
      <c r="O224" s="582"/>
      <c r="P224" s="582"/>
      <c r="Q224" s="511"/>
      <c r="R224" s="511"/>
      <c r="S224" s="511"/>
      <c r="T224" s="639"/>
      <c r="U224" s="511"/>
      <c r="V224" s="511"/>
      <c r="W224" s="511"/>
      <c r="X224" s="511"/>
      <c r="Y224" s="380"/>
      <c r="Z224" s="380"/>
      <c r="AA224" s="380"/>
      <c r="AB224" s="380"/>
      <c r="AC224" s="380"/>
      <c r="AD224" s="671"/>
      <c r="AE224" s="380"/>
      <c r="AF224" s="380"/>
      <c r="AG224" s="380"/>
      <c r="AH224" s="671"/>
      <c r="AI224" s="380"/>
      <c r="AJ224" s="583"/>
      <c r="AK224" s="583"/>
      <c r="AL224" s="511"/>
      <c r="AM224" s="584"/>
      <c r="AN224" s="584"/>
      <c r="AO224" s="584"/>
      <c r="AP224" s="671"/>
      <c r="AQ224" s="584"/>
      <c r="AR224" s="583"/>
      <c r="AS224" s="583"/>
      <c r="AT224" s="585"/>
      <c r="AU224" s="585"/>
      <c r="AV224" s="585"/>
      <c r="AW224" s="585"/>
      <c r="AX224" s="673"/>
      <c r="AY224" s="380"/>
      <c r="AZ224" s="380"/>
      <c r="BA224" s="380"/>
      <c r="BB224" s="380"/>
      <c r="BC224" s="380"/>
      <c r="BD224" s="380"/>
      <c r="BE224" s="380"/>
      <c r="BF224" s="380"/>
      <c r="BG224" s="380"/>
      <c r="BH224" s="380"/>
      <c r="BI224" s="511"/>
      <c r="BJ224" s="380"/>
      <c r="BK224" s="380"/>
      <c r="BL224" s="380"/>
      <c r="BM224" s="380"/>
      <c r="BN224" s="380"/>
      <c r="BO224" s="380"/>
      <c r="BP224" s="380"/>
      <c r="BQ224" s="380"/>
      <c r="BR224" s="380"/>
    </row>
    <row r="225" spans="1:70" ht="12.75" customHeight="1" x14ac:dyDescent="0.25">
      <c r="A225" s="380"/>
      <c r="B225" s="380"/>
      <c r="C225" s="380"/>
      <c r="D225" s="380"/>
      <c r="E225" s="511"/>
      <c r="F225" s="511"/>
      <c r="G225" s="582"/>
      <c r="H225" s="511"/>
      <c r="I225" s="511"/>
      <c r="J225" s="582"/>
      <c r="K225" s="511"/>
      <c r="L225" s="511"/>
      <c r="M225" s="582"/>
      <c r="N225" s="582"/>
      <c r="O225" s="582"/>
      <c r="P225" s="582"/>
      <c r="Q225" s="511"/>
      <c r="R225" s="511"/>
      <c r="S225" s="511"/>
      <c r="T225" s="639"/>
      <c r="U225" s="511"/>
      <c r="V225" s="511"/>
      <c r="W225" s="511"/>
      <c r="X225" s="511"/>
      <c r="Y225" s="380"/>
      <c r="Z225" s="380"/>
      <c r="AA225" s="380"/>
      <c r="AB225" s="380"/>
      <c r="AC225" s="380"/>
      <c r="AD225" s="671"/>
      <c r="AE225" s="380"/>
      <c r="AF225" s="380"/>
      <c r="AG225" s="380"/>
      <c r="AH225" s="671"/>
      <c r="AI225" s="380"/>
      <c r="AJ225" s="583"/>
      <c r="AK225" s="583"/>
      <c r="AL225" s="511"/>
      <c r="AM225" s="584"/>
      <c r="AN225" s="584"/>
      <c r="AO225" s="584"/>
      <c r="AP225" s="671"/>
      <c r="AQ225" s="584"/>
      <c r="AR225" s="583"/>
      <c r="AS225" s="583"/>
      <c r="AT225" s="585"/>
      <c r="AU225" s="585"/>
      <c r="AV225" s="585"/>
      <c r="AW225" s="585"/>
      <c r="AX225" s="673"/>
      <c r="AY225" s="380"/>
      <c r="AZ225" s="380"/>
      <c r="BA225" s="380"/>
      <c r="BB225" s="380"/>
      <c r="BC225" s="380"/>
      <c r="BD225" s="380"/>
      <c r="BE225" s="380"/>
      <c r="BF225" s="380"/>
      <c r="BG225" s="380"/>
      <c r="BH225" s="380"/>
      <c r="BI225" s="511"/>
      <c r="BJ225" s="380"/>
      <c r="BK225" s="380"/>
      <c r="BL225" s="380"/>
      <c r="BM225" s="380"/>
      <c r="BN225" s="380"/>
      <c r="BO225" s="380"/>
      <c r="BP225" s="380"/>
      <c r="BQ225" s="380"/>
      <c r="BR225" s="380"/>
    </row>
    <row r="226" spans="1:70" ht="12.75" customHeight="1" x14ac:dyDescent="0.25">
      <c r="A226" s="380"/>
      <c r="B226" s="380"/>
      <c r="C226" s="380"/>
      <c r="D226" s="380"/>
      <c r="E226" s="511"/>
      <c r="F226" s="511"/>
      <c r="G226" s="582"/>
      <c r="H226" s="511"/>
      <c r="I226" s="511"/>
      <c r="J226" s="582"/>
      <c r="K226" s="511"/>
      <c r="L226" s="511"/>
      <c r="M226" s="582"/>
      <c r="N226" s="582"/>
      <c r="O226" s="582"/>
      <c r="P226" s="582"/>
      <c r="Q226" s="511"/>
      <c r="R226" s="511"/>
      <c r="S226" s="511"/>
      <c r="T226" s="639"/>
      <c r="U226" s="511"/>
      <c r="V226" s="511"/>
      <c r="W226" s="511"/>
      <c r="X226" s="511"/>
      <c r="Y226" s="380"/>
      <c r="Z226" s="380"/>
      <c r="AA226" s="380"/>
      <c r="AB226" s="380"/>
      <c r="AC226" s="380"/>
      <c r="AD226" s="671"/>
      <c r="AE226" s="380"/>
      <c r="AF226" s="380"/>
      <c r="AG226" s="380"/>
      <c r="AH226" s="671"/>
      <c r="AI226" s="380"/>
      <c r="AJ226" s="583"/>
      <c r="AK226" s="583"/>
      <c r="AL226" s="511"/>
      <c r="AM226" s="584"/>
      <c r="AN226" s="584"/>
      <c r="AO226" s="584"/>
      <c r="AP226" s="671"/>
      <c r="AQ226" s="584"/>
      <c r="AR226" s="583"/>
      <c r="AS226" s="583"/>
      <c r="AT226" s="585"/>
      <c r="AU226" s="585"/>
      <c r="AV226" s="585"/>
      <c r="AW226" s="585"/>
      <c r="AX226" s="673"/>
      <c r="AY226" s="380"/>
      <c r="AZ226" s="380"/>
      <c r="BA226" s="380"/>
      <c r="BB226" s="380"/>
      <c r="BC226" s="380"/>
      <c r="BD226" s="380"/>
      <c r="BE226" s="380"/>
      <c r="BF226" s="380"/>
      <c r="BG226" s="380"/>
      <c r="BH226" s="380"/>
      <c r="BI226" s="511"/>
      <c r="BJ226" s="380"/>
      <c r="BK226" s="380"/>
      <c r="BL226" s="380"/>
      <c r="BM226" s="380"/>
      <c r="BN226" s="380"/>
      <c r="BO226" s="380"/>
      <c r="BP226" s="380"/>
      <c r="BQ226" s="380"/>
      <c r="BR226" s="380"/>
    </row>
    <row r="227" spans="1:70" ht="12.75" customHeight="1" x14ac:dyDescent="0.25">
      <c r="A227" s="380"/>
      <c r="B227" s="380"/>
      <c r="C227" s="380"/>
      <c r="D227" s="380"/>
      <c r="E227" s="511"/>
      <c r="F227" s="511"/>
      <c r="G227" s="582"/>
      <c r="H227" s="511"/>
      <c r="I227" s="511"/>
      <c r="J227" s="582"/>
      <c r="K227" s="511"/>
      <c r="L227" s="511"/>
      <c r="M227" s="582"/>
      <c r="N227" s="582"/>
      <c r="O227" s="582"/>
      <c r="P227" s="582"/>
      <c r="Q227" s="511"/>
      <c r="R227" s="511"/>
      <c r="S227" s="511"/>
      <c r="T227" s="639"/>
      <c r="U227" s="511"/>
      <c r="V227" s="511"/>
      <c r="W227" s="511"/>
      <c r="X227" s="511"/>
      <c r="Y227" s="380"/>
      <c r="Z227" s="380"/>
      <c r="AA227" s="380"/>
      <c r="AB227" s="380"/>
      <c r="AC227" s="380"/>
      <c r="AD227" s="671"/>
      <c r="AE227" s="380"/>
      <c r="AF227" s="380"/>
      <c r="AG227" s="380"/>
      <c r="AH227" s="671"/>
      <c r="AI227" s="380"/>
      <c r="AJ227" s="583"/>
      <c r="AK227" s="583"/>
      <c r="AL227" s="511"/>
      <c r="AM227" s="584"/>
      <c r="AN227" s="584"/>
      <c r="AO227" s="584"/>
      <c r="AP227" s="671"/>
      <c r="AQ227" s="584"/>
      <c r="AR227" s="583"/>
      <c r="AS227" s="583"/>
      <c r="AT227" s="585"/>
      <c r="AU227" s="585"/>
      <c r="AV227" s="585"/>
      <c r="AW227" s="585"/>
      <c r="AX227" s="673"/>
      <c r="AY227" s="380"/>
      <c r="AZ227" s="380"/>
      <c r="BA227" s="380"/>
      <c r="BB227" s="380"/>
      <c r="BC227" s="380"/>
      <c r="BD227" s="380"/>
      <c r="BE227" s="380"/>
      <c r="BF227" s="380"/>
      <c r="BG227" s="380"/>
      <c r="BH227" s="380"/>
      <c r="BI227" s="511"/>
      <c r="BJ227" s="380"/>
      <c r="BK227" s="380"/>
      <c r="BL227" s="380"/>
      <c r="BM227" s="380"/>
      <c r="BN227" s="380"/>
      <c r="BO227" s="380"/>
      <c r="BP227" s="380"/>
      <c r="BQ227" s="380"/>
      <c r="BR227" s="380"/>
    </row>
    <row r="228" spans="1:70" ht="12.75" customHeight="1" x14ac:dyDescent="0.25">
      <c r="A228" s="380"/>
      <c r="B228" s="380"/>
      <c r="C228" s="380"/>
      <c r="D228" s="380"/>
      <c r="E228" s="511"/>
      <c r="F228" s="511"/>
      <c r="G228" s="582"/>
      <c r="H228" s="511"/>
      <c r="I228" s="511"/>
      <c r="J228" s="582"/>
      <c r="K228" s="511"/>
      <c r="L228" s="511"/>
      <c r="M228" s="582"/>
      <c r="N228" s="582"/>
      <c r="O228" s="582"/>
      <c r="P228" s="582"/>
      <c r="Q228" s="511"/>
      <c r="R228" s="511"/>
      <c r="S228" s="511"/>
      <c r="T228" s="639"/>
      <c r="U228" s="511"/>
      <c r="V228" s="511"/>
      <c r="W228" s="511"/>
      <c r="X228" s="511"/>
      <c r="Y228" s="380"/>
      <c r="Z228" s="380"/>
      <c r="AA228" s="380"/>
      <c r="AB228" s="380"/>
      <c r="AC228" s="380"/>
      <c r="AD228" s="671"/>
      <c r="AE228" s="380"/>
      <c r="AF228" s="380"/>
      <c r="AG228" s="380"/>
      <c r="AH228" s="671"/>
      <c r="AI228" s="380"/>
      <c r="AJ228" s="583"/>
      <c r="AK228" s="583"/>
      <c r="AL228" s="511"/>
      <c r="AM228" s="584"/>
      <c r="AN228" s="584"/>
      <c r="AO228" s="584"/>
      <c r="AP228" s="671"/>
      <c r="AQ228" s="584"/>
      <c r="AR228" s="583"/>
      <c r="AS228" s="583"/>
      <c r="AT228" s="585"/>
      <c r="AU228" s="585"/>
      <c r="AV228" s="585"/>
      <c r="AW228" s="585"/>
      <c r="AX228" s="673"/>
      <c r="AY228" s="380"/>
      <c r="AZ228" s="380"/>
      <c r="BA228" s="380"/>
      <c r="BB228" s="380"/>
      <c r="BC228" s="380"/>
      <c r="BD228" s="380"/>
      <c r="BE228" s="380"/>
      <c r="BF228" s="380"/>
      <c r="BG228" s="380"/>
      <c r="BH228" s="380"/>
      <c r="BI228" s="511"/>
      <c r="BJ228" s="380"/>
      <c r="BK228" s="380"/>
      <c r="BL228" s="380"/>
      <c r="BM228" s="380"/>
      <c r="BN228" s="380"/>
      <c r="BO228" s="380"/>
      <c r="BP228" s="380"/>
      <c r="BQ228" s="380"/>
      <c r="BR228" s="380"/>
    </row>
    <row r="229" spans="1:70" ht="12.75" customHeight="1" x14ac:dyDescent="0.25">
      <c r="A229" s="380"/>
      <c r="B229" s="380"/>
      <c r="C229" s="380"/>
      <c r="D229" s="380"/>
      <c r="E229" s="511"/>
      <c r="F229" s="511"/>
      <c r="G229" s="582"/>
      <c r="H229" s="511"/>
      <c r="I229" s="511"/>
      <c r="J229" s="582"/>
      <c r="K229" s="511"/>
      <c r="L229" s="511"/>
      <c r="M229" s="582"/>
      <c r="N229" s="582"/>
      <c r="O229" s="582"/>
      <c r="P229" s="582"/>
      <c r="Q229" s="511"/>
      <c r="R229" s="511"/>
      <c r="S229" s="511"/>
      <c r="T229" s="639"/>
      <c r="U229" s="511"/>
      <c r="V229" s="511"/>
      <c r="W229" s="511"/>
      <c r="X229" s="511"/>
      <c r="Y229" s="380"/>
      <c r="Z229" s="380"/>
      <c r="AA229" s="380"/>
      <c r="AB229" s="380"/>
      <c r="AC229" s="380"/>
      <c r="AD229" s="671"/>
      <c r="AE229" s="380"/>
      <c r="AF229" s="380"/>
      <c r="AG229" s="380"/>
      <c r="AH229" s="671"/>
      <c r="AI229" s="380"/>
      <c r="AJ229" s="583"/>
      <c r="AK229" s="583"/>
      <c r="AL229" s="511"/>
      <c r="AM229" s="584"/>
      <c r="AN229" s="584"/>
      <c r="AO229" s="584"/>
      <c r="AP229" s="671"/>
      <c r="AQ229" s="584"/>
      <c r="AR229" s="583"/>
      <c r="AS229" s="583"/>
      <c r="AT229" s="585"/>
      <c r="AU229" s="585"/>
      <c r="AV229" s="585"/>
      <c r="AW229" s="585"/>
      <c r="AX229" s="673"/>
      <c r="AY229" s="380"/>
      <c r="AZ229" s="380"/>
      <c r="BA229" s="380"/>
      <c r="BB229" s="380"/>
      <c r="BC229" s="380"/>
      <c r="BD229" s="380"/>
      <c r="BE229" s="380"/>
      <c r="BF229" s="380"/>
      <c r="BG229" s="380"/>
      <c r="BH229" s="380"/>
      <c r="BI229" s="511"/>
      <c r="BJ229" s="380"/>
      <c r="BK229" s="380"/>
      <c r="BL229" s="380"/>
      <c r="BM229" s="380"/>
      <c r="BN229" s="380"/>
      <c r="BO229" s="380"/>
      <c r="BP229" s="380"/>
      <c r="BQ229" s="380"/>
      <c r="BR229" s="380"/>
    </row>
    <row r="230" spans="1:70" ht="12.75" customHeight="1" x14ac:dyDescent="0.25">
      <c r="A230" s="380"/>
      <c r="B230" s="380"/>
      <c r="C230" s="380"/>
      <c r="D230" s="380"/>
      <c r="E230" s="511"/>
      <c r="F230" s="511"/>
      <c r="G230" s="582"/>
      <c r="H230" s="511"/>
      <c r="I230" s="511"/>
      <c r="J230" s="582"/>
      <c r="K230" s="511"/>
      <c r="L230" s="511"/>
      <c r="M230" s="582"/>
      <c r="N230" s="582"/>
      <c r="O230" s="582"/>
      <c r="P230" s="582"/>
      <c r="Q230" s="511"/>
      <c r="R230" s="511"/>
      <c r="S230" s="511"/>
      <c r="T230" s="639"/>
      <c r="U230" s="511"/>
      <c r="V230" s="511"/>
      <c r="W230" s="511"/>
      <c r="X230" s="511"/>
      <c r="Y230" s="380"/>
      <c r="Z230" s="380"/>
      <c r="AA230" s="380"/>
      <c r="AB230" s="380"/>
      <c r="AC230" s="380"/>
      <c r="AD230" s="671"/>
      <c r="AE230" s="380"/>
      <c r="AF230" s="380"/>
      <c r="AG230" s="380"/>
      <c r="AH230" s="671"/>
      <c r="AI230" s="380"/>
      <c r="AJ230" s="583"/>
      <c r="AK230" s="583"/>
      <c r="AL230" s="511"/>
      <c r="AM230" s="584"/>
      <c r="AN230" s="584"/>
      <c r="AO230" s="584"/>
      <c r="AP230" s="671"/>
      <c r="AQ230" s="584"/>
      <c r="AR230" s="583"/>
      <c r="AS230" s="583"/>
      <c r="AT230" s="585"/>
      <c r="AU230" s="585"/>
      <c r="AV230" s="585"/>
      <c r="AW230" s="585"/>
      <c r="AX230" s="673"/>
      <c r="AY230" s="380"/>
      <c r="AZ230" s="380"/>
      <c r="BA230" s="380"/>
      <c r="BB230" s="380"/>
      <c r="BC230" s="380"/>
      <c r="BD230" s="380"/>
      <c r="BE230" s="380"/>
      <c r="BF230" s="380"/>
      <c r="BG230" s="380"/>
      <c r="BH230" s="380"/>
      <c r="BI230" s="511"/>
      <c r="BJ230" s="380"/>
      <c r="BK230" s="380"/>
      <c r="BL230" s="380"/>
      <c r="BM230" s="380"/>
      <c r="BN230" s="380"/>
      <c r="BO230" s="380"/>
      <c r="BP230" s="380"/>
      <c r="BQ230" s="380"/>
      <c r="BR230" s="380"/>
    </row>
    <row r="231" spans="1:70" ht="12.75" customHeight="1" x14ac:dyDescent="0.25">
      <c r="A231" s="380"/>
      <c r="B231" s="380"/>
      <c r="C231" s="380"/>
      <c r="D231" s="380"/>
      <c r="E231" s="511"/>
      <c r="F231" s="511"/>
      <c r="G231" s="582"/>
      <c r="H231" s="511"/>
      <c r="I231" s="511"/>
      <c r="J231" s="582"/>
      <c r="K231" s="511"/>
      <c r="L231" s="511"/>
      <c r="M231" s="582"/>
      <c r="N231" s="582"/>
      <c r="O231" s="582"/>
      <c r="P231" s="582"/>
      <c r="Q231" s="511"/>
      <c r="R231" s="511"/>
      <c r="S231" s="511"/>
      <c r="T231" s="639"/>
      <c r="U231" s="511"/>
      <c r="V231" s="511"/>
      <c r="W231" s="511"/>
      <c r="X231" s="511"/>
      <c r="Y231" s="380"/>
      <c r="Z231" s="380"/>
      <c r="AA231" s="380"/>
      <c r="AB231" s="380"/>
      <c r="AC231" s="380"/>
      <c r="AD231" s="671"/>
      <c r="AE231" s="380"/>
      <c r="AF231" s="380"/>
      <c r="AG231" s="380"/>
      <c r="AH231" s="671"/>
      <c r="AI231" s="380"/>
      <c r="AJ231" s="583"/>
      <c r="AK231" s="583"/>
      <c r="AL231" s="511"/>
      <c r="AM231" s="584"/>
      <c r="AN231" s="584"/>
      <c r="AO231" s="584"/>
      <c r="AP231" s="671"/>
      <c r="AQ231" s="584"/>
      <c r="AR231" s="583"/>
      <c r="AS231" s="583"/>
      <c r="AT231" s="585"/>
      <c r="AU231" s="585"/>
      <c r="AV231" s="585"/>
      <c r="AW231" s="585"/>
      <c r="AX231" s="673"/>
      <c r="AY231" s="380"/>
      <c r="AZ231" s="380"/>
      <c r="BA231" s="380"/>
      <c r="BB231" s="380"/>
      <c r="BC231" s="380"/>
      <c r="BD231" s="380"/>
      <c r="BE231" s="380"/>
      <c r="BF231" s="380"/>
      <c r="BG231" s="380"/>
      <c r="BH231" s="380"/>
      <c r="BI231" s="511"/>
      <c r="BJ231" s="380"/>
      <c r="BK231" s="380"/>
      <c r="BL231" s="380"/>
      <c r="BM231" s="380"/>
      <c r="BN231" s="380"/>
      <c r="BO231" s="380"/>
      <c r="BP231" s="380"/>
      <c r="BQ231" s="380"/>
      <c r="BR231" s="380"/>
    </row>
    <row r="232" spans="1:70" ht="12.75" customHeight="1" x14ac:dyDescent="0.25">
      <c r="A232" s="380"/>
      <c r="B232" s="380"/>
      <c r="C232" s="380"/>
      <c r="D232" s="380"/>
      <c r="E232" s="511"/>
      <c r="F232" s="511"/>
      <c r="G232" s="582"/>
      <c r="H232" s="511"/>
      <c r="I232" s="511"/>
      <c r="J232" s="582"/>
      <c r="K232" s="511"/>
      <c r="L232" s="511"/>
      <c r="M232" s="582"/>
      <c r="N232" s="582"/>
      <c r="O232" s="582"/>
      <c r="P232" s="582"/>
      <c r="Q232" s="511"/>
      <c r="R232" s="511"/>
      <c r="S232" s="511"/>
      <c r="T232" s="639"/>
      <c r="U232" s="511"/>
      <c r="V232" s="511"/>
      <c r="W232" s="511"/>
      <c r="X232" s="511"/>
      <c r="Y232" s="380"/>
      <c r="Z232" s="380"/>
      <c r="AA232" s="380"/>
      <c r="AB232" s="380"/>
      <c r="AC232" s="380"/>
      <c r="AD232" s="671"/>
      <c r="AE232" s="380"/>
      <c r="AF232" s="380"/>
      <c r="AG232" s="380"/>
      <c r="AH232" s="671"/>
      <c r="AI232" s="380"/>
      <c r="AJ232" s="583"/>
      <c r="AK232" s="583"/>
      <c r="AL232" s="511"/>
      <c r="AM232" s="584"/>
      <c r="AN232" s="584"/>
      <c r="AO232" s="584"/>
      <c r="AP232" s="671"/>
      <c r="AQ232" s="584"/>
      <c r="AR232" s="583"/>
      <c r="AS232" s="583"/>
      <c r="AT232" s="585"/>
      <c r="AU232" s="585"/>
      <c r="AV232" s="585"/>
      <c r="AW232" s="585"/>
      <c r="AX232" s="673"/>
      <c r="AY232" s="380"/>
      <c r="AZ232" s="380"/>
      <c r="BA232" s="380"/>
      <c r="BB232" s="380"/>
      <c r="BC232" s="380"/>
      <c r="BD232" s="380"/>
      <c r="BE232" s="380"/>
      <c r="BF232" s="380"/>
      <c r="BG232" s="380"/>
      <c r="BH232" s="380"/>
      <c r="BI232" s="511"/>
      <c r="BJ232" s="380"/>
      <c r="BK232" s="380"/>
      <c r="BL232" s="380"/>
      <c r="BM232" s="380"/>
      <c r="BN232" s="380"/>
      <c r="BO232" s="380"/>
      <c r="BP232" s="380"/>
      <c r="BQ232" s="380"/>
      <c r="BR232" s="380"/>
    </row>
    <row r="233" spans="1:70" ht="12.75" customHeight="1" x14ac:dyDescent="0.25">
      <c r="A233" s="380"/>
      <c r="B233" s="380"/>
      <c r="C233" s="380"/>
      <c r="D233" s="380"/>
      <c r="E233" s="511"/>
      <c r="F233" s="511"/>
      <c r="G233" s="582"/>
      <c r="H233" s="511"/>
      <c r="I233" s="511"/>
      <c r="J233" s="582"/>
      <c r="K233" s="511"/>
      <c r="L233" s="511"/>
      <c r="M233" s="582"/>
      <c r="N233" s="582"/>
      <c r="O233" s="582"/>
      <c r="P233" s="582"/>
      <c r="Q233" s="511"/>
      <c r="R233" s="511"/>
      <c r="S233" s="511"/>
      <c r="T233" s="639"/>
      <c r="U233" s="511"/>
      <c r="V233" s="511"/>
      <c r="W233" s="511"/>
      <c r="X233" s="511"/>
      <c r="Y233" s="380"/>
      <c r="Z233" s="380"/>
      <c r="AA233" s="380"/>
      <c r="AB233" s="380"/>
      <c r="AC233" s="380"/>
      <c r="AD233" s="671"/>
      <c r="AE233" s="380"/>
      <c r="AF233" s="380"/>
      <c r="AG233" s="380"/>
      <c r="AH233" s="671"/>
      <c r="AI233" s="380"/>
      <c r="AJ233" s="583"/>
      <c r="AK233" s="583"/>
      <c r="AL233" s="511"/>
      <c r="AM233" s="584"/>
      <c r="AN233" s="584"/>
      <c r="AO233" s="584"/>
      <c r="AP233" s="671"/>
      <c r="AQ233" s="584"/>
      <c r="AR233" s="583"/>
      <c r="AS233" s="583"/>
      <c r="AT233" s="585"/>
      <c r="AU233" s="585"/>
      <c r="AV233" s="585"/>
      <c r="AW233" s="585"/>
      <c r="AX233" s="673"/>
      <c r="AY233" s="380"/>
      <c r="AZ233" s="380"/>
      <c r="BA233" s="380"/>
      <c r="BB233" s="380"/>
      <c r="BC233" s="380"/>
      <c r="BD233" s="380"/>
      <c r="BE233" s="380"/>
      <c r="BF233" s="380"/>
      <c r="BG233" s="380"/>
      <c r="BH233" s="380"/>
      <c r="BI233" s="511"/>
      <c r="BJ233" s="380"/>
      <c r="BK233" s="380"/>
      <c r="BL233" s="380"/>
      <c r="BM233" s="380"/>
      <c r="BN233" s="380"/>
      <c r="BO233" s="380"/>
      <c r="BP233" s="380"/>
      <c r="BQ233" s="380"/>
      <c r="BR233" s="380"/>
    </row>
    <row r="234" spans="1:70" ht="12.75" customHeight="1" x14ac:dyDescent="0.25">
      <c r="A234" s="380"/>
      <c r="B234" s="380"/>
      <c r="C234" s="380"/>
      <c r="D234" s="380"/>
      <c r="E234" s="511"/>
      <c r="F234" s="511"/>
      <c r="G234" s="582"/>
      <c r="H234" s="511"/>
      <c r="I234" s="511"/>
      <c r="J234" s="582"/>
      <c r="K234" s="511"/>
      <c r="L234" s="511"/>
      <c r="M234" s="582"/>
      <c r="N234" s="582"/>
      <c r="O234" s="582"/>
      <c r="P234" s="582"/>
      <c r="Q234" s="511"/>
      <c r="R234" s="511"/>
      <c r="S234" s="511"/>
      <c r="T234" s="639"/>
      <c r="U234" s="511"/>
      <c r="V234" s="511"/>
      <c r="W234" s="511"/>
      <c r="X234" s="511"/>
      <c r="Y234" s="380"/>
      <c r="Z234" s="380"/>
      <c r="AA234" s="380"/>
      <c r="AB234" s="380"/>
      <c r="AC234" s="380"/>
      <c r="AD234" s="671"/>
      <c r="AE234" s="380"/>
      <c r="AF234" s="380"/>
      <c r="AG234" s="380"/>
      <c r="AH234" s="671"/>
      <c r="AI234" s="380"/>
      <c r="AJ234" s="583"/>
      <c r="AK234" s="583"/>
      <c r="AL234" s="511"/>
      <c r="AM234" s="584"/>
      <c r="AN234" s="584"/>
      <c r="AO234" s="584"/>
      <c r="AP234" s="671"/>
      <c r="AQ234" s="584"/>
      <c r="AR234" s="583"/>
      <c r="AS234" s="583"/>
      <c r="AT234" s="585"/>
      <c r="AU234" s="585"/>
      <c r="AV234" s="585"/>
      <c r="AW234" s="585"/>
      <c r="AX234" s="673"/>
      <c r="AY234" s="380"/>
      <c r="AZ234" s="380"/>
      <c r="BA234" s="380"/>
      <c r="BB234" s="380"/>
      <c r="BC234" s="380"/>
      <c r="BD234" s="380"/>
      <c r="BE234" s="380"/>
      <c r="BF234" s="380"/>
      <c r="BG234" s="380"/>
      <c r="BH234" s="380"/>
      <c r="BI234" s="511"/>
      <c r="BJ234" s="380"/>
      <c r="BK234" s="380"/>
      <c r="BL234" s="380"/>
      <c r="BM234" s="380"/>
      <c r="BN234" s="380"/>
      <c r="BO234" s="380"/>
      <c r="BP234" s="380"/>
      <c r="BQ234" s="380"/>
      <c r="BR234" s="380"/>
    </row>
    <row r="235" spans="1:70" ht="12.75" customHeight="1" x14ac:dyDescent="0.25">
      <c r="A235" s="380"/>
      <c r="B235" s="380"/>
      <c r="C235" s="380"/>
      <c r="D235" s="380"/>
      <c r="E235" s="511"/>
      <c r="F235" s="511"/>
      <c r="G235" s="582"/>
      <c r="H235" s="511"/>
      <c r="I235" s="511"/>
      <c r="J235" s="582"/>
      <c r="K235" s="511"/>
      <c r="L235" s="511"/>
      <c r="M235" s="582"/>
      <c r="N235" s="582"/>
      <c r="O235" s="582"/>
      <c r="P235" s="582"/>
      <c r="Q235" s="511"/>
      <c r="R235" s="511"/>
      <c r="S235" s="511"/>
      <c r="T235" s="639"/>
      <c r="U235" s="511"/>
      <c r="V235" s="511"/>
      <c r="W235" s="511"/>
      <c r="X235" s="511"/>
      <c r="Y235" s="380"/>
      <c r="Z235" s="380"/>
      <c r="AA235" s="380"/>
      <c r="AB235" s="380"/>
      <c r="AC235" s="380"/>
      <c r="AD235" s="671"/>
      <c r="AE235" s="380"/>
      <c r="AF235" s="380"/>
      <c r="AG235" s="380"/>
      <c r="AH235" s="671"/>
      <c r="AI235" s="380"/>
      <c r="AJ235" s="583"/>
      <c r="AK235" s="583"/>
      <c r="AL235" s="511"/>
      <c r="AM235" s="584"/>
      <c r="AN235" s="584"/>
      <c r="AO235" s="584"/>
      <c r="AP235" s="671"/>
      <c r="AQ235" s="584"/>
      <c r="AR235" s="583"/>
      <c r="AS235" s="583"/>
      <c r="AT235" s="585"/>
      <c r="AU235" s="585"/>
      <c r="AV235" s="585"/>
      <c r="AW235" s="585"/>
      <c r="AX235" s="673"/>
      <c r="AY235" s="380"/>
      <c r="AZ235" s="380"/>
      <c r="BA235" s="380"/>
      <c r="BB235" s="380"/>
      <c r="BC235" s="380"/>
      <c r="BD235" s="380"/>
      <c r="BE235" s="380"/>
      <c r="BF235" s="380"/>
      <c r="BG235" s="380"/>
      <c r="BH235" s="380"/>
      <c r="BI235" s="511"/>
      <c r="BJ235" s="380"/>
      <c r="BK235" s="380"/>
      <c r="BL235" s="380"/>
      <c r="BM235" s="380"/>
      <c r="BN235" s="380"/>
      <c r="BO235" s="380"/>
      <c r="BP235" s="380"/>
      <c r="BQ235" s="380"/>
      <c r="BR235" s="380"/>
    </row>
    <row r="236" spans="1:70" ht="12.75" customHeight="1" x14ac:dyDescent="0.25">
      <c r="A236" s="380"/>
      <c r="B236" s="380"/>
      <c r="C236" s="380"/>
      <c r="D236" s="380"/>
      <c r="E236" s="511"/>
      <c r="F236" s="511"/>
      <c r="G236" s="582"/>
      <c r="H236" s="511"/>
      <c r="I236" s="511"/>
      <c r="J236" s="582"/>
      <c r="K236" s="511"/>
      <c r="L236" s="511"/>
      <c r="M236" s="582"/>
      <c r="N236" s="582"/>
      <c r="O236" s="582"/>
      <c r="P236" s="582"/>
      <c r="Q236" s="511"/>
      <c r="R236" s="511"/>
      <c r="S236" s="511"/>
      <c r="T236" s="639"/>
      <c r="U236" s="511"/>
      <c r="V236" s="511"/>
      <c r="W236" s="511"/>
      <c r="X236" s="511"/>
      <c r="Y236" s="380"/>
      <c r="Z236" s="380"/>
      <c r="AA236" s="380"/>
      <c r="AB236" s="380"/>
      <c r="AC236" s="380"/>
      <c r="AD236" s="671"/>
      <c r="AE236" s="380"/>
      <c r="AF236" s="380"/>
      <c r="AG236" s="380"/>
      <c r="AH236" s="671"/>
      <c r="AI236" s="380"/>
      <c r="AJ236" s="583"/>
      <c r="AK236" s="583"/>
      <c r="AL236" s="511"/>
      <c r="AM236" s="584"/>
      <c r="AN236" s="584"/>
      <c r="AO236" s="584"/>
      <c r="AP236" s="671"/>
      <c r="AQ236" s="584"/>
      <c r="AR236" s="583"/>
      <c r="AS236" s="583"/>
      <c r="AT236" s="585"/>
      <c r="AU236" s="585"/>
      <c r="AV236" s="585"/>
      <c r="AW236" s="585"/>
      <c r="AX236" s="673"/>
      <c r="AY236" s="380"/>
      <c r="AZ236" s="380"/>
      <c r="BA236" s="380"/>
      <c r="BB236" s="380"/>
      <c r="BC236" s="380"/>
      <c r="BD236" s="380"/>
      <c r="BE236" s="380"/>
      <c r="BF236" s="380"/>
      <c r="BG236" s="380"/>
      <c r="BH236" s="380"/>
      <c r="BI236" s="511"/>
      <c r="BJ236" s="380"/>
      <c r="BK236" s="380"/>
      <c r="BL236" s="380"/>
      <c r="BM236" s="380"/>
      <c r="BN236" s="380"/>
      <c r="BO236" s="380"/>
      <c r="BP236" s="380"/>
      <c r="BQ236" s="380"/>
      <c r="BR236" s="380"/>
    </row>
    <row r="237" spans="1:70" ht="12.75" customHeight="1" x14ac:dyDescent="0.25">
      <c r="A237" s="380"/>
      <c r="B237" s="380"/>
      <c r="C237" s="380"/>
      <c r="D237" s="380"/>
      <c r="E237" s="511"/>
      <c r="F237" s="511"/>
      <c r="G237" s="582"/>
      <c r="H237" s="511"/>
      <c r="I237" s="511"/>
      <c r="J237" s="582"/>
      <c r="K237" s="511"/>
      <c r="L237" s="511"/>
      <c r="M237" s="582"/>
      <c r="N237" s="582"/>
      <c r="O237" s="582"/>
      <c r="P237" s="582"/>
      <c r="Q237" s="511"/>
      <c r="R237" s="511"/>
      <c r="S237" s="511"/>
      <c r="T237" s="639"/>
      <c r="U237" s="511"/>
      <c r="V237" s="511"/>
      <c r="W237" s="511"/>
      <c r="X237" s="511"/>
      <c r="Y237" s="380"/>
      <c r="Z237" s="380"/>
      <c r="AA237" s="380"/>
      <c r="AB237" s="380"/>
      <c r="AC237" s="380"/>
      <c r="AD237" s="671"/>
      <c r="AE237" s="380"/>
      <c r="AF237" s="380"/>
      <c r="AG237" s="380"/>
      <c r="AH237" s="671"/>
      <c r="AI237" s="380"/>
      <c r="AJ237" s="583"/>
      <c r="AK237" s="583"/>
      <c r="AL237" s="511"/>
      <c r="AM237" s="584"/>
      <c r="AN237" s="584"/>
      <c r="AO237" s="584"/>
      <c r="AP237" s="671"/>
      <c r="AQ237" s="584"/>
      <c r="AR237" s="583"/>
      <c r="AS237" s="583"/>
      <c r="AT237" s="585"/>
      <c r="AU237" s="585"/>
      <c r="AV237" s="585"/>
      <c r="AW237" s="585"/>
      <c r="AX237" s="673"/>
      <c r="AY237" s="380"/>
      <c r="AZ237" s="380"/>
      <c r="BA237" s="380"/>
      <c r="BB237" s="380"/>
      <c r="BC237" s="380"/>
      <c r="BD237" s="380"/>
      <c r="BE237" s="380"/>
      <c r="BF237" s="380"/>
      <c r="BG237" s="380"/>
      <c r="BH237" s="380"/>
      <c r="BI237" s="511"/>
      <c r="BJ237" s="380"/>
      <c r="BK237" s="380"/>
      <c r="BL237" s="380"/>
      <c r="BM237" s="380"/>
      <c r="BN237" s="380"/>
      <c r="BO237" s="380"/>
      <c r="BP237" s="380"/>
      <c r="BQ237" s="380"/>
      <c r="BR237" s="380"/>
    </row>
    <row r="238" spans="1:70" ht="12.75" customHeight="1" x14ac:dyDescent="0.25">
      <c r="A238" s="380"/>
      <c r="B238" s="380"/>
      <c r="C238" s="380"/>
      <c r="D238" s="380"/>
      <c r="E238" s="511"/>
      <c r="F238" s="511"/>
      <c r="G238" s="582"/>
      <c r="H238" s="511"/>
      <c r="I238" s="511"/>
      <c r="J238" s="582"/>
      <c r="K238" s="511"/>
      <c r="L238" s="511"/>
      <c r="M238" s="582"/>
      <c r="N238" s="582"/>
      <c r="O238" s="582"/>
      <c r="P238" s="582"/>
      <c r="Q238" s="511"/>
      <c r="R238" s="511"/>
      <c r="S238" s="511"/>
      <c r="T238" s="639"/>
      <c r="U238" s="511"/>
      <c r="V238" s="511"/>
      <c r="W238" s="511"/>
      <c r="X238" s="511"/>
      <c r="Y238" s="380"/>
      <c r="Z238" s="380"/>
      <c r="AA238" s="380"/>
      <c r="AB238" s="380"/>
      <c r="AC238" s="380"/>
      <c r="AD238" s="671"/>
      <c r="AE238" s="380"/>
      <c r="AF238" s="380"/>
      <c r="AG238" s="380"/>
      <c r="AH238" s="671"/>
      <c r="AI238" s="380"/>
      <c r="AJ238" s="583"/>
      <c r="AK238" s="583"/>
      <c r="AL238" s="511"/>
      <c r="AM238" s="584"/>
      <c r="AN238" s="584"/>
      <c r="AO238" s="584"/>
      <c r="AP238" s="671"/>
      <c r="AQ238" s="584"/>
      <c r="AR238" s="583"/>
      <c r="AS238" s="583"/>
      <c r="AT238" s="585"/>
      <c r="AU238" s="585"/>
      <c r="AV238" s="585"/>
      <c r="AW238" s="585"/>
      <c r="AX238" s="673"/>
      <c r="AY238" s="380"/>
      <c r="AZ238" s="380"/>
      <c r="BA238" s="380"/>
      <c r="BB238" s="380"/>
      <c r="BC238" s="380"/>
      <c r="BD238" s="380"/>
      <c r="BE238" s="380"/>
      <c r="BF238" s="380"/>
      <c r="BG238" s="380"/>
      <c r="BH238" s="380"/>
      <c r="BI238" s="511"/>
      <c r="BJ238" s="380"/>
      <c r="BK238" s="380"/>
      <c r="BL238" s="380"/>
      <c r="BM238" s="380"/>
      <c r="BN238" s="380"/>
      <c r="BO238" s="380"/>
      <c r="BP238" s="380"/>
      <c r="BQ238" s="380"/>
      <c r="BR238" s="380"/>
    </row>
    <row r="239" spans="1:70" ht="12.75" customHeight="1" x14ac:dyDescent="0.25">
      <c r="A239" s="380"/>
      <c r="B239" s="380"/>
      <c r="C239" s="380"/>
      <c r="D239" s="380"/>
      <c r="E239" s="511"/>
      <c r="F239" s="511"/>
      <c r="G239" s="582"/>
      <c r="H239" s="511"/>
      <c r="I239" s="511"/>
      <c r="J239" s="582"/>
      <c r="K239" s="511"/>
      <c r="L239" s="511"/>
      <c r="M239" s="582"/>
      <c r="N239" s="582"/>
      <c r="O239" s="582"/>
      <c r="P239" s="582"/>
      <c r="Q239" s="511"/>
      <c r="R239" s="511"/>
      <c r="S239" s="511"/>
      <c r="T239" s="639"/>
      <c r="U239" s="511"/>
      <c r="V239" s="511"/>
      <c r="W239" s="511"/>
      <c r="X239" s="511"/>
      <c r="Y239" s="380"/>
      <c r="Z239" s="380"/>
      <c r="AA239" s="380"/>
      <c r="AB239" s="380"/>
      <c r="AC239" s="380"/>
      <c r="AD239" s="671"/>
      <c r="AE239" s="380"/>
      <c r="AF239" s="380"/>
      <c r="AG239" s="380"/>
      <c r="AH239" s="671"/>
      <c r="AI239" s="380"/>
      <c r="AJ239" s="583"/>
      <c r="AK239" s="583"/>
      <c r="AL239" s="511"/>
      <c r="AM239" s="584"/>
      <c r="AN239" s="584"/>
      <c r="AO239" s="584"/>
      <c r="AP239" s="671"/>
      <c r="AQ239" s="584"/>
      <c r="AR239" s="583"/>
      <c r="AS239" s="583"/>
      <c r="AT239" s="585"/>
      <c r="AU239" s="585"/>
      <c r="AV239" s="585"/>
      <c r="AW239" s="585"/>
      <c r="AX239" s="673"/>
      <c r="AY239" s="380"/>
      <c r="AZ239" s="380"/>
      <c r="BA239" s="380"/>
      <c r="BB239" s="380"/>
      <c r="BC239" s="380"/>
      <c r="BD239" s="380"/>
      <c r="BE239" s="380"/>
      <c r="BF239" s="380"/>
      <c r="BG239" s="380"/>
      <c r="BH239" s="380"/>
      <c r="BI239" s="511"/>
      <c r="BJ239" s="380"/>
      <c r="BK239" s="380"/>
      <c r="BL239" s="380"/>
      <c r="BM239" s="380"/>
      <c r="BN239" s="380"/>
      <c r="BO239" s="380"/>
      <c r="BP239" s="380"/>
      <c r="BQ239" s="380"/>
      <c r="BR239" s="380"/>
    </row>
    <row r="240" spans="1:70" ht="12.75" customHeight="1" x14ac:dyDescent="0.25">
      <c r="A240" s="380"/>
      <c r="B240" s="380"/>
      <c r="C240" s="380"/>
      <c r="D240" s="380"/>
      <c r="E240" s="511"/>
      <c r="F240" s="511"/>
      <c r="G240" s="582"/>
      <c r="H240" s="511"/>
      <c r="I240" s="511"/>
      <c r="J240" s="582"/>
      <c r="K240" s="511"/>
      <c r="L240" s="511"/>
      <c r="M240" s="582"/>
      <c r="N240" s="582"/>
      <c r="O240" s="582"/>
      <c r="P240" s="582"/>
      <c r="Q240" s="511"/>
      <c r="R240" s="511"/>
      <c r="S240" s="511"/>
      <c r="T240" s="639"/>
      <c r="U240" s="511"/>
      <c r="V240" s="511"/>
      <c r="W240" s="511"/>
      <c r="X240" s="511"/>
      <c r="Y240" s="380"/>
      <c r="Z240" s="380"/>
      <c r="AA240" s="380"/>
      <c r="AB240" s="380"/>
      <c r="AC240" s="380"/>
      <c r="AD240" s="671"/>
      <c r="AE240" s="380"/>
      <c r="AF240" s="380"/>
      <c r="AG240" s="380"/>
      <c r="AH240" s="671"/>
      <c r="AI240" s="380"/>
      <c r="AJ240" s="583"/>
      <c r="AK240" s="583"/>
      <c r="AL240" s="511"/>
      <c r="AM240" s="584"/>
      <c r="AN240" s="584"/>
      <c r="AO240" s="584"/>
      <c r="AP240" s="671"/>
      <c r="AQ240" s="584"/>
      <c r="AR240" s="583"/>
      <c r="AS240" s="583"/>
      <c r="AT240" s="585"/>
      <c r="AU240" s="585"/>
      <c r="AV240" s="585"/>
      <c r="AW240" s="585"/>
      <c r="AX240" s="673"/>
      <c r="AY240" s="380"/>
      <c r="AZ240" s="380"/>
      <c r="BA240" s="380"/>
      <c r="BB240" s="380"/>
      <c r="BC240" s="380"/>
      <c r="BD240" s="380"/>
      <c r="BE240" s="380"/>
      <c r="BF240" s="380"/>
      <c r="BG240" s="380"/>
      <c r="BH240" s="380"/>
      <c r="BI240" s="511"/>
      <c r="BJ240" s="380"/>
      <c r="BK240" s="380"/>
      <c r="BL240" s="380"/>
      <c r="BM240" s="380"/>
      <c r="BN240" s="380"/>
      <c r="BO240" s="380"/>
      <c r="BP240" s="380"/>
      <c r="BQ240" s="380"/>
      <c r="BR240" s="380"/>
    </row>
    <row r="241" spans="1:70" ht="12.75" customHeight="1" x14ac:dyDescent="0.25">
      <c r="A241" s="380"/>
      <c r="B241" s="380"/>
      <c r="C241" s="380"/>
      <c r="D241" s="380"/>
      <c r="E241" s="511"/>
      <c r="F241" s="511"/>
      <c r="G241" s="582"/>
      <c r="H241" s="511"/>
      <c r="I241" s="511"/>
      <c r="J241" s="582"/>
      <c r="K241" s="511"/>
      <c r="L241" s="511"/>
      <c r="M241" s="582"/>
      <c r="N241" s="582"/>
      <c r="O241" s="582"/>
      <c r="P241" s="582"/>
      <c r="Q241" s="511"/>
      <c r="R241" s="511"/>
      <c r="S241" s="511"/>
      <c r="T241" s="639"/>
      <c r="U241" s="511"/>
      <c r="V241" s="511"/>
      <c r="W241" s="511"/>
      <c r="X241" s="511"/>
      <c r="Y241" s="380"/>
      <c r="Z241" s="380"/>
      <c r="AA241" s="380"/>
      <c r="AB241" s="380"/>
      <c r="AC241" s="380"/>
      <c r="AD241" s="671"/>
      <c r="AE241" s="380"/>
      <c r="AF241" s="380"/>
      <c r="AG241" s="380"/>
      <c r="AH241" s="671"/>
      <c r="AI241" s="380"/>
      <c r="AJ241" s="583"/>
      <c r="AK241" s="583"/>
      <c r="AL241" s="511"/>
      <c r="AM241" s="584"/>
      <c r="AN241" s="584"/>
      <c r="AO241" s="584"/>
      <c r="AP241" s="671"/>
      <c r="AQ241" s="584"/>
      <c r="AR241" s="583"/>
      <c r="AS241" s="583"/>
      <c r="AT241" s="585"/>
      <c r="AU241" s="585"/>
      <c r="AV241" s="585"/>
      <c r="AW241" s="585"/>
      <c r="AX241" s="673"/>
      <c r="AY241" s="380"/>
      <c r="AZ241" s="380"/>
      <c r="BA241" s="380"/>
      <c r="BB241" s="380"/>
      <c r="BC241" s="380"/>
      <c r="BD241" s="380"/>
      <c r="BE241" s="380"/>
      <c r="BF241" s="380"/>
      <c r="BG241" s="380"/>
      <c r="BH241" s="380"/>
      <c r="BI241" s="511"/>
      <c r="BJ241" s="380"/>
      <c r="BK241" s="380"/>
      <c r="BL241" s="380"/>
      <c r="BM241" s="380"/>
      <c r="BN241" s="380"/>
      <c r="BO241" s="380"/>
      <c r="BP241" s="380"/>
      <c r="BQ241" s="380"/>
      <c r="BR241" s="380"/>
    </row>
    <row r="242" spans="1:70" ht="12.75" customHeight="1" x14ac:dyDescent="0.25">
      <c r="A242" s="380"/>
      <c r="B242" s="380"/>
      <c r="C242" s="380"/>
      <c r="D242" s="380"/>
      <c r="E242" s="511"/>
      <c r="F242" s="511"/>
      <c r="G242" s="582"/>
      <c r="H242" s="511"/>
      <c r="I242" s="511"/>
      <c r="J242" s="582"/>
      <c r="K242" s="511"/>
      <c r="L242" s="511"/>
      <c r="M242" s="582"/>
      <c r="N242" s="582"/>
      <c r="O242" s="582"/>
      <c r="P242" s="582"/>
      <c r="Q242" s="511"/>
      <c r="R242" s="511"/>
      <c r="S242" s="511"/>
      <c r="T242" s="639"/>
      <c r="U242" s="511"/>
      <c r="V242" s="511"/>
      <c r="W242" s="511"/>
      <c r="X242" s="511"/>
      <c r="Y242" s="380"/>
      <c r="Z242" s="380"/>
      <c r="AA242" s="380"/>
      <c r="AB242" s="380"/>
      <c r="AC242" s="380"/>
      <c r="AD242" s="671"/>
      <c r="AE242" s="380"/>
      <c r="AF242" s="380"/>
      <c r="AG242" s="380"/>
      <c r="AH242" s="671"/>
      <c r="AI242" s="380"/>
      <c r="AJ242" s="583"/>
      <c r="AK242" s="583"/>
      <c r="AL242" s="511"/>
      <c r="AM242" s="584"/>
      <c r="AN242" s="584"/>
      <c r="AO242" s="584"/>
      <c r="AP242" s="671"/>
      <c r="AQ242" s="584"/>
      <c r="AR242" s="583"/>
      <c r="AS242" s="583"/>
      <c r="AT242" s="585"/>
      <c r="AU242" s="585"/>
      <c r="AV242" s="585"/>
      <c r="AW242" s="585"/>
      <c r="AX242" s="673"/>
      <c r="AY242" s="380"/>
      <c r="AZ242" s="380"/>
      <c r="BA242" s="380"/>
      <c r="BB242" s="380"/>
      <c r="BC242" s="380"/>
      <c r="BD242" s="380"/>
      <c r="BE242" s="380"/>
      <c r="BF242" s="380"/>
      <c r="BG242" s="380"/>
      <c r="BH242" s="380"/>
      <c r="BI242" s="511"/>
      <c r="BJ242" s="380"/>
      <c r="BK242" s="380"/>
      <c r="BL242" s="380"/>
      <c r="BM242" s="380"/>
      <c r="BN242" s="380"/>
      <c r="BO242" s="380"/>
      <c r="BP242" s="380"/>
      <c r="BQ242" s="380"/>
      <c r="BR242" s="380"/>
    </row>
    <row r="243" spans="1:70" ht="12.75" customHeight="1" x14ac:dyDescent="0.25">
      <c r="A243" s="380"/>
      <c r="B243" s="380"/>
      <c r="C243" s="380"/>
      <c r="D243" s="380"/>
      <c r="E243" s="511"/>
      <c r="F243" s="511"/>
      <c r="G243" s="582"/>
      <c r="H243" s="511"/>
      <c r="I243" s="511"/>
      <c r="J243" s="582"/>
      <c r="K243" s="511"/>
      <c r="L243" s="511"/>
      <c r="M243" s="582"/>
      <c r="N243" s="582"/>
      <c r="O243" s="582"/>
      <c r="P243" s="582"/>
      <c r="Q243" s="511"/>
      <c r="R243" s="511"/>
      <c r="S243" s="511"/>
      <c r="T243" s="639"/>
      <c r="U243" s="511"/>
      <c r="V243" s="511"/>
      <c r="W243" s="511"/>
      <c r="X243" s="511"/>
      <c r="Y243" s="380"/>
      <c r="Z243" s="380"/>
      <c r="AA243" s="380"/>
      <c r="AB243" s="380"/>
      <c r="AC243" s="380"/>
      <c r="AD243" s="671"/>
      <c r="AE243" s="380"/>
      <c r="AF243" s="380"/>
      <c r="AG243" s="380"/>
      <c r="AH243" s="671"/>
      <c r="AI243" s="380"/>
      <c r="AJ243" s="583"/>
      <c r="AK243" s="583"/>
      <c r="AL243" s="511"/>
      <c r="AM243" s="584"/>
      <c r="AN243" s="584"/>
      <c r="AO243" s="584"/>
      <c r="AP243" s="671"/>
      <c r="AQ243" s="584"/>
      <c r="AR243" s="583"/>
      <c r="AS243" s="583"/>
      <c r="AT243" s="585"/>
      <c r="AU243" s="585"/>
      <c r="AV243" s="585"/>
      <c r="AW243" s="585"/>
      <c r="AX243" s="673"/>
      <c r="AY243" s="380"/>
      <c r="AZ243" s="380"/>
      <c r="BA243" s="380"/>
      <c r="BB243" s="380"/>
      <c r="BC243" s="380"/>
      <c r="BD243" s="380"/>
      <c r="BE243" s="380"/>
      <c r="BF243" s="380"/>
      <c r="BG243" s="380"/>
      <c r="BH243" s="380"/>
      <c r="BI243" s="511"/>
      <c r="BJ243" s="380"/>
      <c r="BK243" s="380"/>
      <c r="BL243" s="380"/>
      <c r="BM243" s="380"/>
      <c r="BN243" s="380"/>
      <c r="BO243" s="380"/>
      <c r="BP243" s="380"/>
      <c r="BQ243" s="380"/>
      <c r="BR243" s="380"/>
    </row>
    <row r="244" spans="1:70" ht="12.75" customHeight="1" x14ac:dyDescent="0.25">
      <c r="A244" s="380"/>
      <c r="B244" s="380"/>
      <c r="C244" s="380"/>
      <c r="D244" s="380"/>
      <c r="E244" s="511"/>
      <c r="F244" s="511"/>
      <c r="G244" s="582"/>
      <c r="H244" s="511"/>
      <c r="I244" s="511"/>
      <c r="J244" s="582"/>
      <c r="K244" s="511"/>
      <c r="L244" s="511"/>
      <c r="M244" s="582"/>
      <c r="N244" s="582"/>
      <c r="O244" s="582"/>
      <c r="P244" s="582"/>
      <c r="Q244" s="511"/>
      <c r="R244" s="511"/>
      <c r="S244" s="511"/>
      <c r="T244" s="639"/>
      <c r="U244" s="511"/>
      <c r="V244" s="511"/>
      <c r="W244" s="511"/>
      <c r="X244" s="511"/>
      <c r="Y244" s="380"/>
      <c r="Z244" s="380"/>
      <c r="AA244" s="380"/>
      <c r="AB244" s="380"/>
      <c r="AC244" s="380"/>
      <c r="AD244" s="671"/>
      <c r="AE244" s="380"/>
      <c r="AF244" s="380"/>
      <c r="AG244" s="380"/>
      <c r="AH244" s="671"/>
      <c r="AI244" s="380"/>
      <c r="AJ244" s="583"/>
      <c r="AK244" s="583"/>
      <c r="AL244" s="511"/>
      <c r="AM244" s="584"/>
      <c r="AN244" s="584"/>
      <c r="AO244" s="584"/>
      <c r="AP244" s="671"/>
      <c r="AQ244" s="584"/>
      <c r="AR244" s="583"/>
      <c r="AS244" s="583"/>
      <c r="AT244" s="585"/>
      <c r="AU244" s="585"/>
      <c r="AV244" s="585"/>
      <c r="AW244" s="585"/>
      <c r="AX244" s="673"/>
      <c r="AY244" s="380"/>
      <c r="AZ244" s="380"/>
      <c r="BA244" s="380"/>
      <c r="BB244" s="380"/>
      <c r="BC244" s="380"/>
      <c r="BD244" s="380"/>
      <c r="BE244" s="380"/>
      <c r="BF244" s="380"/>
      <c r="BG244" s="380"/>
      <c r="BH244" s="380"/>
      <c r="BI244" s="511"/>
      <c r="BJ244" s="380"/>
      <c r="BK244" s="380"/>
      <c r="BL244" s="380"/>
      <c r="BM244" s="380"/>
      <c r="BN244" s="380"/>
      <c r="BO244" s="380"/>
      <c r="BP244" s="380"/>
      <c r="BQ244" s="380"/>
      <c r="BR244" s="380"/>
    </row>
    <row r="245" spans="1:70" ht="12.75" customHeight="1" x14ac:dyDescent="0.25">
      <c r="A245" s="380"/>
      <c r="B245" s="380"/>
      <c r="C245" s="380"/>
      <c r="D245" s="380"/>
      <c r="E245" s="511"/>
      <c r="F245" s="511"/>
      <c r="G245" s="582"/>
      <c r="H245" s="511"/>
      <c r="I245" s="511"/>
      <c r="J245" s="582"/>
      <c r="K245" s="511"/>
      <c r="L245" s="511"/>
      <c r="M245" s="582"/>
      <c r="N245" s="582"/>
      <c r="O245" s="582"/>
      <c r="P245" s="582"/>
      <c r="Q245" s="511"/>
      <c r="R245" s="511"/>
      <c r="S245" s="511"/>
      <c r="T245" s="639"/>
      <c r="U245" s="511"/>
      <c r="V245" s="511"/>
      <c r="W245" s="511"/>
      <c r="X245" s="511"/>
      <c r="Y245" s="380"/>
      <c r="Z245" s="380"/>
      <c r="AA245" s="380"/>
      <c r="AB245" s="380"/>
      <c r="AC245" s="380"/>
      <c r="AD245" s="671"/>
      <c r="AE245" s="380"/>
      <c r="AF245" s="380"/>
      <c r="AG245" s="380"/>
      <c r="AH245" s="671"/>
      <c r="AI245" s="380"/>
      <c r="AJ245" s="583"/>
      <c r="AK245" s="583"/>
      <c r="AL245" s="511"/>
      <c r="AM245" s="584"/>
      <c r="AN245" s="584"/>
      <c r="AO245" s="584"/>
      <c r="AP245" s="671"/>
      <c r="AQ245" s="584"/>
      <c r="AR245" s="583"/>
      <c r="AS245" s="583"/>
      <c r="AT245" s="585"/>
      <c r="AU245" s="585"/>
      <c r="AV245" s="585"/>
      <c r="AW245" s="585"/>
      <c r="AX245" s="673"/>
      <c r="AY245" s="380"/>
      <c r="AZ245" s="380"/>
      <c r="BA245" s="380"/>
      <c r="BB245" s="380"/>
      <c r="BC245" s="380"/>
      <c r="BD245" s="380"/>
      <c r="BE245" s="380"/>
      <c r="BF245" s="380"/>
      <c r="BG245" s="380"/>
      <c r="BH245" s="380"/>
      <c r="BI245" s="511"/>
      <c r="BJ245" s="380"/>
      <c r="BK245" s="380"/>
      <c r="BL245" s="380"/>
      <c r="BM245" s="380"/>
      <c r="BN245" s="380"/>
      <c r="BO245" s="380"/>
      <c r="BP245" s="380"/>
      <c r="BQ245" s="380"/>
      <c r="BR245" s="380"/>
    </row>
    <row r="246" spans="1:70" ht="12.75" customHeight="1" x14ac:dyDescent="0.25">
      <c r="A246" s="380"/>
      <c r="B246" s="380"/>
      <c r="C246" s="380"/>
      <c r="D246" s="380"/>
      <c r="E246" s="511"/>
      <c r="F246" s="511"/>
      <c r="G246" s="582"/>
      <c r="H246" s="511"/>
      <c r="I246" s="511"/>
      <c r="J246" s="582"/>
      <c r="K246" s="511"/>
      <c r="L246" s="511"/>
      <c r="M246" s="582"/>
      <c r="N246" s="582"/>
      <c r="O246" s="582"/>
      <c r="P246" s="582"/>
      <c r="Q246" s="511"/>
      <c r="R246" s="511"/>
      <c r="S246" s="511"/>
      <c r="T246" s="639"/>
      <c r="U246" s="511"/>
      <c r="V246" s="511"/>
      <c r="W246" s="511"/>
      <c r="X246" s="511"/>
      <c r="Y246" s="380"/>
      <c r="Z246" s="380"/>
      <c r="AA246" s="380"/>
      <c r="AB246" s="380"/>
      <c r="AC246" s="380"/>
      <c r="AD246" s="671"/>
      <c r="AE246" s="380"/>
      <c r="AF246" s="380"/>
      <c r="AG246" s="380"/>
      <c r="AH246" s="671"/>
      <c r="AI246" s="380"/>
      <c r="AJ246" s="583"/>
      <c r="AK246" s="583"/>
      <c r="AL246" s="511"/>
      <c r="AM246" s="584"/>
      <c r="AN246" s="584"/>
      <c r="AO246" s="584"/>
      <c r="AP246" s="671"/>
      <c r="AQ246" s="584"/>
      <c r="AR246" s="583"/>
      <c r="AS246" s="583"/>
      <c r="AT246" s="585"/>
      <c r="AU246" s="585"/>
      <c r="AV246" s="585"/>
      <c r="AW246" s="585"/>
      <c r="AX246" s="673"/>
      <c r="AY246" s="380"/>
      <c r="AZ246" s="380"/>
      <c r="BA246" s="380"/>
      <c r="BB246" s="380"/>
      <c r="BC246" s="380"/>
      <c r="BD246" s="380"/>
      <c r="BE246" s="380"/>
      <c r="BF246" s="380"/>
      <c r="BG246" s="380"/>
      <c r="BH246" s="380"/>
      <c r="BI246" s="511"/>
      <c r="BJ246" s="380"/>
      <c r="BK246" s="380"/>
      <c r="BL246" s="380"/>
      <c r="BM246" s="380"/>
      <c r="BN246" s="380"/>
      <c r="BO246" s="380"/>
      <c r="BP246" s="380"/>
      <c r="BQ246" s="380"/>
      <c r="BR246" s="380"/>
    </row>
    <row r="247" spans="1:70" ht="12.75" customHeight="1" x14ac:dyDescent="0.25">
      <c r="A247" s="380"/>
      <c r="B247" s="380"/>
      <c r="C247" s="380"/>
      <c r="D247" s="380"/>
      <c r="E247" s="511"/>
      <c r="F247" s="511"/>
      <c r="G247" s="582"/>
      <c r="H247" s="511"/>
      <c r="I247" s="511"/>
      <c r="J247" s="582"/>
      <c r="K247" s="511"/>
      <c r="L247" s="511"/>
      <c r="M247" s="582"/>
      <c r="N247" s="582"/>
      <c r="O247" s="582"/>
      <c r="P247" s="582"/>
      <c r="Q247" s="511"/>
      <c r="R247" s="511"/>
      <c r="S247" s="511"/>
      <c r="T247" s="639"/>
      <c r="U247" s="511"/>
      <c r="V247" s="511"/>
      <c r="W247" s="511"/>
      <c r="X247" s="511"/>
      <c r="Y247" s="380"/>
      <c r="Z247" s="380"/>
      <c r="AA247" s="380"/>
      <c r="AB247" s="380"/>
      <c r="AC247" s="380"/>
      <c r="AD247" s="671"/>
      <c r="AE247" s="380"/>
      <c r="AF247" s="380"/>
      <c r="AG247" s="380"/>
      <c r="AH247" s="671"/>
      <c r="AI247" s="380"/>
      <c r="AJ247" s="583"/>
      <c r="AK247" s="583"/>
      <c r="AL247" s="511"/>
      <c r="AM247" s="584"/>
      <c r="AN247" s="584"/>
      <c r="AO247" s="584"/>
      <c r="AP247" s="671"/>
      <c r="AQ247" s="584"/>
      <c r="AR247" s="583"/>
      <c r="AS247" s="583"/>
      <c r="AT247" s="585"/>
      <c r="AU247" s="585"/>
      <c r="AV247" s="585"/>
      <c r="AW247" s="585"/>
      <c r="AX247" s="673"/>
      <c r="AY247" s="380"/>
      <c r="AZ247" s="380"/>
      <c r="BA247" s="380"/>
      <c r="BB247" s="380"/>
      <c r="BC247" s="380"/>
      <c r="BD247" s="380"/>
      <c r="BE247" s="380"/>
      <c r="BF247" s="380"/>
      <c r="BG247" s="380"/>
      <c r="BH247" s="380"/>
      <c r="BI247" s="511"/>
      <c r="BJ247" s="380"/>
      <c r="BK247" s="380"/>
      <c r="BL247" s="380"/>
      <c r="BM247" s="380"/>
      <c r="BN247" s="380"/>
      <c r="BO247" s="380"/>
      <c r="BP247" s="380"/>
      <c r="BQ247" s="380"/>
      <c r="BR247" s="380"/>
    </row>
    <row r="248" spans="1:70" ht="12.75" customHeight="1" x14ac:dyDescent="0.25">
      <c r="A248" s="380"/>
      <c r="B248" s="380"/>
      <c r="C248" s="380"/>
      <c r="D248" s="380"/>
      <c r="E248" s="511"/>
      <c r="F248" s="511"/>
      <c r="G248" s="582"/>
      <c r="H248" s="511"/>
      <c r="I248" s="511"/>
      <c r="J248" s="582"/>
      <c r="K248" s="511"/>
      <c r="L248" s="511"/>
      <c r="M248" s="582"/>
      <c r="N248" s="582"/>
      <c r="O248" s="582"/>
      <c r="P248" s="582"/>
      <c r="Q248" s="511"/>
      <c r="R248" s="511"/>
      <c r="S248" s="511"/>
      <c r="T248" s="639"/>
      <c r="U248" s="511"/>
      <c r="V248" s="511"/>
      <c r="W248" s="511"/>
      <c r="X248" s="511"/>
      <c r="Y248" s="380"/>
      <c r="Z248" s="380"/>
      <c r="AA248" s="380"/>
      <c r="AB248" s="380"/>
      <c r="AC248" s="380"/>
      <c r="AD248" s="671"/>
      <c r="AE248" s="380"/>
      <c r="AF248" s="380"/>
      <c r="AG248" s="380"/>
      <c r="AH248" s="671"/>
      <c r="AI248" s="380"/>
      <c r="AJ248" s="583"/>
      <c r="AK248" s="583"/>
      <c r="AL248" s="511"/>
      <c r="AM248" s="584"/>
      <c r="AN248" s="584"/>
      <c r="AO248" s="584"/>
      <c r="AP248" s="671"/>
      <c r="AQ248" s="584"/>
      <c r="AR248" s="583"/>
      <c r="AS248" s="583"/>
      <c r="AT248" s="585"/>
      <c r="AU248" s="585"/>
      <c r="AV248" s="585"/>
      <c r="AW248" s="585"/>
      <c r="AX248" s="673"/>
      <c r="AY248" s="380"/>
      <c r="AZ248" s="380"/>
      <c r="BA248" s="380"/>
      <c r="BB248" s="380"/>
      <c r="BC248" s="380"/>
      <c r="BD248" s="380"/>
      <c r="BE248" s="380"/>
      <c r="BF248" s="380"/>
      <c r="BG248" s="380"/>
      <c r="BH248" s="380"/>
      <c r="BI248" s="511"/>
      <c r="BJ248" s="380"/>
      <c r="BK248" s="380"/>
      <c r="BL248" s="380"/>
      <c r="BM248" s="380"/>
      <c r="BN248" s="380"/>
      <c r="BO248" s="380"/>
      <c r="BP248" s="380"/>
      <c r="BQ248" s="380"/>
      <c r="BR248" s="380"/>
    </row>
    <row r="249" spans="1:70" ht="12.75" customHeight="1" x14ac:dyDescent="0.25">
      <c r="A249" s="380"/>
      <c r="B249" s="380"/>
      <c r="C249" s="380"/>
      <c r="D249" s="380"/>
      <c r="E249" s="511"/>
      <c r="F249" s="511"/>
      <c r="G249" s="582"/>
      <c r="H249" s="511"/>
      <c r="I249" s="511"/>
      <c r="J249" s="582"/>
      <c r="K249" s="511"/>
      <c r="L249" s="511"/>
      <c r="M249" s="582"/>
      <c r="N249" s="582"/>
      <c r="O249" s="582"/>
      <c r="P249" s="582"/>
      <c r="Q249" s="511"/>
      <c r="R249" s="511"/>
      <c r="S249" s="511"/>
      <c r="T249" s="639"/>
      <c r="U249" s="511"/>
      <c r="V249" s="511"/>
      <c r="W249" s="511"/>
      <c r="X249" s="511"/>
      <c r="Y249" s="380"/>
      <c r="Z249" s="380"/>
      <c r="AA249" s="380"/>
      <c r="AB249" s="380"/>
      <c r="AC249" s="380"/>
      <c r="AD249" s="671"/>
      <c r="AE249" s="380"/>
      <c r="AF249" s="380"/>
      <c r="AG249" s="380"/>
      <c r="AH249" s="671"/>
      <c r="AI249" s="380"/>
      <c r="AJ249" s="583"/>
      <c r="AK249" s="583"/>
      <c r="AL249" s="511"/>
      <c r="AM249" s="584"/>
      <c r="AN249" s="584"/>
      <c r="AO249" s="584"/>
      <c r="AP249" s="671"/>
      <c r="AQ249" s="584"/>
      <c r="AR249" s="583"/>
      <c r="AS249" s="583"/>
      <c r="AT249" s="585"/>
      <c r="AU249" s="585"/>
      <c r="AV249" s="585"/>
      <c r="AW249" s="585"/>
      <c r="AX249" s="673"/>
      <c r="AY249" s="380"/>
      <c r="AZ249" s="380"/>
      <c r="BA249" s="380"/>
      <c r="BB249" s="380"/>
      <c r="BC249" s="380"/>
      <c r="BD249" s="380"/>
      <c r="BE249" s="380"/>
      <c r="BF249" s="380"/>
      <c r="BG249" s="380"/>
      <c r="BH249" s="380"/>
      <c r="BI249" s="511"/>
      <c r="BJ249" s="380"/>
      <c r="BK249" s="380"/>
      <c r="BL249" s="380"/>
      <c r="BM249" s="380"/>
      <c r="BN249" s="380"/>
      <c r="BO249" s="380"/>
      <c r="BP249" s="380"/>
      <c r="BQ249" s="380"/>
      <c r="BR249" s="380"/>
    </row>
    <row r="250" spans="1:70" ht="12.75" customHeight="1" x14ac:dyDescent="0.25">
      <c r="A250" s="380"/>
      <c r="B250" s="380"/>
      <c r="C250" s="380"/>
      <c r="D250" s="380"/>
      <c r="E250" s="511"/>
      <c r="F250" s="511"/>
      <c r="G250" s="582"/>
      <c r="H250" s="511"/>
      <c r="I250" s="511"/>
      <c r="J250" s="582"/>
      <c r="K250" s="511"/>
      <c r="L250" s="511"/>
      <c r="M250" s="582"/>
      <c r="N250" s="582"/>
      <c r="O250" s="582"/>
      <c r="P250" s="582"/>
      <c r="Q250" s="511"/>
      <c r="R250" s="511"/>
      <c r="S250" s="511"/>
      <c r="T250" s="639"/>
      <c r="U250" s="511"/>
      <c r="V250" s="511"/>
      <c r="W250" s="511"/>
      <c r="X250" s="511"/>
      <c r="Y250" s="380"/>
      <c r="Z250" s="380"/>
      <c r="AA250" s="380"/>
      <c r="AB250" s="380"/>
      <c r="AC250" s="380"/>
      <c r="AD250" s="671"/>
      <c r="AE250" s="380"/>
      <c r="AF250" s="380"/>
      <c r="AG250" s="380"/>
      <c r="AH250" s="671"/>
      <c r="AI250" s="380"/>
      <c r="AJ250" s="583"/>
      <c r="AK250" s="583"/>
      <c r="AL250" s="511"/>
      <c r="AM250" s="584"/>
      <c r="AN250" s="584"/>
      <c r="AO250" s="584"/>
      <c r="AP250" s="671"/>
      <c r="AQ250" s="584"/>
      <c r="AR250" s="583"/>
      <c r="AS250" s="583"/>
      <c r="AT250" s="585"/>
      <c r="AU250" s="585"/>
      <c r="AV250" s="585"/>
      <c r="AW250" s="585"/>
      <c r="AX250" s="673"/>
      <c r="AY250" s="380"/>
      <c r="AZ250" s="380"/>
      <c r="BA250" s="380"/>
      <c r="BB250" s="380"/>
      <c r="BC250" s="380"/>
      <c r="BD250" s="380"/>
      <c r="BE250" s="380"/>
      <c r="BF250" s="380"/>
      <c r="BG250" s="380"/>
      <c r="BH250" s="380"/>
      <c r="BI250" s="511"/>
      <c r="BJ250" s="380"/>
      <c r="BK250" s="380"/>
      <c r="BL250" s="380"/>
      <c r="BM250" s="380"/>
      <c r="BN250" s="380"/>
      <c r="BO250" s="380"/>
      <c r="BP250" s="380"/>
      <c r="BQ250" s="380"/>
      <c r="BR250" s="380"/>
    </row>
    <row r="251" spans="1:70" ht="12.75" customHeight="1" x14ac:dyDescent="0.25">
      <c r="A251" s="380"/>
      <c r="B251" s="380"/>
      <c r="C251" s="380"/>
      <c r="D251" s="380"/>
      <c r="E251" s="511"/>
      <c r="F251" s="511"/>
      <c r="G251" s="582"/>
      <c r="H251" s="511"/>
      <c r="I251" s="511"/>
      <c r="J251" s="582"/>
      <c r="K251" s="511"/>
      <c r="L251" s="511"/>
      <c r="M251" s="582"/>
      <c r="N251" s="582"/>
      <c r="O251" s="582"/>
      <c r="P251" s="582"/>
      <c r="Q251" s="511"/>
      <c r="R251" s="511"/>
      <c r="S251" s="511"/>
      <c r="T251" s="639"/>
      <c r="U251" s="511"/>
      <c r="V251" s="511"/>
      <c r="W251" s="511"/>
      <c r="X251" s="511"/>
      <c r="Y251" s="380"/>
      <c r="Z251" s="380"/>
      <c r="AA251" s="380"/>
      <c r="AB251" s="380"/>
      <c r="AC251" s="380"/>
      <c r="AD251" s="671"/>
      <c r="AE251" s="380"/>
      <c r="AF251" s="380"/>
      <c r="AG251" s="380"/>
      <c r="AH251" s="671"/>
      <c r="AI251" s="380"/>
      <c r="AJ251" s="583"/>
      <c r="AK251" s="583"/>
      <c r="AL251" s="511"/>
      <c r="AM251" s="584"/>
      <c r="AN251" s="584"/>
      <c r="AO251" s="584"/>
      <c r="AP251" s="671"/>
      <c r="AQ251" s="584"/>
      <c r="AR251" s="583"/>
      <c r="AS251" s="583"/>
      <c r="AT251" s="585"/>
      <c r="AU251" s="585"/>
      <c r="AV251" s="585"/>
      <c r="AW251" s="585"/>
      <c r="AX251" s="673"/>
      <c r="AY251" s="380"/>
      <c r="AZ251" s="380"/>
      <c r="BA251" s="380"/>
      <c r="BB251" s="380"/>
      <c r="BC251" s="380"/>
      <c r="BD251" s="380"/>
      <c r="BE251" s="380"/>
      <c r="BF251" s="380"/>
      <c r="BG251" s="380"/>
      <c r="BH251" s="380"/>
      <c r="BI251" s="511"/>
      <c r="BJ251" s="380"/>
      <c r="BK251" s="380"/>
      <c r="BL251" s="380"/>
      <c r="BM251" s="380"/>
      <c r="BN251" s="380"/>
      <c r="BO251" s="380"/>
      <c r="BP251" s="380"/>
      <c r="BQ251" s="380"/>
      <c r="BR251" s="380"/>
    </row>
    <row r="252" spans="1:70" ht="12.75" customHeight="1" x14ac:dyDescent="0.25">
      <c r="A252" s="380"/>
      <c r="B252" s="380"/>
      <c r="C252" s="380"/>
      <c r="D252" s="380"/>
      <c r="E252" s="511"/>
      <c r="F252" s="511"/>
      <c r="G252" s="582"/>
      <c r="H252" s="511"/>
      <c r="I252" s="511"/>
      <c r="J252" s="582"/>
      <c r="K252" s="511"/>
      <c r="L252" s="511"/>
      <c r="M252" s="582"/>
      <c r="N252" s="582"/>
      <c r="O252" s="582"/>
      <c r="P252" s="582"/>
      <c r="Q252" s="511"/>
      <c r="R252" s="511"/>
      <c r="S252" s="511"/>
      <c r="T252" s="639"/>
      <c r="U252" s="511"/>
      <c r="V252" s="511"/>
      <c r="W252" s="511"/>
      <c r="X252" s="511"/>
      <c r="Y252" s="380"/>
      <c r="Z252" s="380"/>
      <c r="AA252" s="380"/>
      <c r="AB252" s="380"/>
      <c r="AC252" s="380"/>
      <c r="AD252" s="671"/>
      <c r="AE252" s="380"/>
      <c r="AF252" s="380"/>
      <c r="AG252" s="380"/>
      <c r="AH252" s="671"/>
      <c r="AI252" s="380"/>
      <c r="AJ252" s="583"/>
      <c r="AK252" s="583"/>
      <c r="AL252" s="511"/>
      <c r="AM252" s="584"/>
      <c r="AN252" s="584"/>
      <c r="AO252" s="584"/>
      <c r="AP252" s="671"/>
      <c r="AQ252" s="584"/>
      <c r="AR252" s="583"/>
      <c r="AS252" s="583"/>
      <c r="AT252" s="585"/>
      <c r="AU252" s="585"/>
      <c r="AV252" s="585"/>
      <c r="AW252" s="585"/>
      <c r="AX252" s="673"/>
      <c r="AY252" s="380"/>
      <c r="AZ252" s="380"/>
      <c r="BA252" s="380"/>
      <c r="BB252" s="380"/>
      <c r="BC252" s="380"/>
      <c r="BD252" s="380"/>
      <c r="BE252" s="380"/>
      <c r="BF252" s="380"/>
      <c r="BG252" s="380"/>
      <c r="BH252" s="380"/>
      <c r="BI252" s="511"/>
      <c r="BJ252" s="380"/>
      <c r="BK252" s="380"/>
      <c r="BL252" s="380"/>
      <c r="BM252" s="380"/>
      <c r="BN252" s="380"/>
      <c r="BO252" s="380"/>
      <c r="BP252" s="380"/>
      <c r="BQ252" s="380"/>
      <c r="BR252" s="380"/>
    </row>
    <row r="253" spans="1:70" ht="12.75" customHeight="1" x14ac:dyDescent="0.25">
      <c r="A253" s="380"/>
      <c r="B253" s="380"/>
      <c r="C253" s="380"/>
      <c r="D253" s="380"/>
      <c r="E253" s="511"/>
      <c r="F253" s="511"/>
      <c r="G253" s="582"/>
      <c r="H253" s="511"/>
      <c r="I253" s="511"/>
      <c r="J253" s="582"/>
      <c r="K253" s="511"/>
      <c r="L253" s="511"/>
      <c r="M253" s="582"/>
      <c r="N253" s="582"/>
      <c r="O253" s="582"/>
      <c r="P253" s="582"/>
      <c r="Q253" s="511"/>
      <c r="R253" s="511"/>
      <c r="S253" s="511"/>
      <c r="T253" s="639"/>
      <c r="U253" s="511"/>
      <c r="V253" s="511"/>
      <c r="W253" s="511"/>
      <c r="X253" s="511"/>
      <c r="Y253" s="380"/>
      <c r="Z253" s="380"/>
      <c r="AA253" s="380"/>
      <c r="AB253" s="380"/>
      <c r="AC253" s="380"/>
      <c r="AD253" s="671"/>
      <c r="AE253" s="380"/>
      <c r="AF253" s="380"/>
      <c r="AG253" s="380"/>
      <c r="AH253" s="671"/>
      <c r="AI253" s="380"/>
      <c r="AJ253" s="583"/>
      <c r="AK253" s="583"/>
      <c r="AL253" s="511"/>
      <c r="AM253" s="584"/>
      <c r="AN253" s="584"/>
      <c r="AO253" s="584"/>
      <c r="AP253" s="671"/>
      <c r="AQ253" s="584"/>
      <c r="AR253" s="583"/>
      <c r="AS253" s="583"/>
      <c r="AT253" s="585"/>
      <c r="AU253" s="585"/>
      <c r="AV253" s="585"/>
      <c r="AW253" s="585"/>
      <c r="AX253" s="673"/>
      <c r="AY253" s="380"/>
      <c r="AZ253" s="380"/>
      <c r="BA253" s="380"/>
      <c r="BB253" s="380"/>
      <c r="BC253" s="380"/>
      <c r="BD253" s="380"/>
      <c r="BE253" s="380"/>
      <c r="BF253" s="380"/>
      <c r="BG253" s="380"/>
      <c r="BH253" s="380"/>
      <c r="BI253" s="511"/>
      <c r="BJ253" s="380"/>
      <c r="BK253" s="380"/>
      <c r="BL253" s="380"/>
      <c r="BM253" s="380"/>
      <c r="BN253" s="380"/>
      <c r="BO253" s="380"/>
      <c r="BP253" s="380"/>
      <c r="BQ253" s="380"/>
      <c r="BR253" s="380"/>
    </row>
    <row r="254" spans="1:70" ht="12.75" customHeight="1" x14ac:dyDescent="0.25">
      <c r="A254" s="380"/>
      <c r="B254" s="380"/>
      <c r="C254" s="380"/>
      <c r="D254" s="380"/>
      <c r="E254" s="511"/>
      <c r="F254" s="511"/>
      <c r="G254" s="582"/>
      <c r="H254" s="511"/>
      <c r="I254" s="511"/>
      <c r="J254" s="582"/>
      <c r="K254" s="511"/>
      <c r="L254" s="511"/>
      <c r="M254" s="582"/>
      <c r="N254" s="582"/>
      <c r="O254" s="582"/>
      <c r="P254" s="582"/>
      <c r="Q254" s="511"/>
      <c r="R254" s="511"/>
      <c r="S254" s="511"/>
      <c r="T254" s="639"/>
      <c r="U254" s="511"/>
      <c r="V254" s="511"/>
      <c r="W254" s="511"/>
      <c r="X254" s="511"/>
      <c r="Y254" s="380"/>
      <c r="Z254" s="380"/>
      <c r="AA254" s="380"/>
      <c r="AB254" s="380"/>
      <c r="AC254" s="380"/>
      <c r="AD254" s="671"/>
      <c r="AE254" s="380"/>
      <c r="AF254" s="380"/>
      <c r="AG254" s="380"/>
      <c r="AH254" s="671"/>
      <c r="AI254" s="380"/>
      <c r="AJ254" s="583"/>
      <c r="AK254" s="583"/>
      <c r="AL254" s="511"/>
      <c r="AM254" s="584"/>
      <c r="AN254" s="584"/>
      <c r="AO254" s="584"/>
      <c r="AP254" s="671"/>
      <c r="AQ254" s="584"/>
      <c r="AR254" s="583"/>
      <c r="AS254" s="583"/>
      <c r="AT254" s="585"/>
      <c r="AU254" s="585"/>
      <c r="AV254" s="585"/>
      <c r="AW254" s="585"/>
      <c r="AX254" s="673"/>
      <c r="AY254" s="380"/>
      <c r="AZ254" s="380"/>
      <c r="BA254" s="380"/>
      <c r="BB254" s="380"/>
      <c r="BC254" s="380"/>
      <c r="BD254" s="380"/>
      <c r="BE254" s="380"/>
      <c r="BF254" s="380"/>
      <c r="BG254" s="380"/>
      <c r="BH254" s="380"/>
      <c r="BI254" s="511"/>
      <c r="BJ254" s="380"/>
      <c r="BK254" s="380"/>
      <c r="BL254" s="380"/>
      <c r="BM254" s="380"/>
      <c r="BN254" s="380"/>
      <c r="BO254" s="380"/>
      <c r="BP254" s="380"/>
      <c r="BQ254" s="380"/>
      <c r="BR254" s="380"/>
    </row>
    <row r="255" spans="1:70" ht="12.75" customHeight="1" x14ac:dyDescent="0.25">
      <c r="A255" s="380"/>
      <c r="B255" s="380"/>
      <c r="C255" s="380"/>
      <c r="D255" s="380"/>
      <c r="E255" s="511"/>
      <c r="F255" s="511"/>
      <c r="G255" s="582"/>
      <c r="H255" s="511"/>
      <c r="I255" s="511"/>
      <c r="J255" s="582"/>
      <c r="K255" s="511"/>
      <c r="L255" s="511"/>
      <c r="M255" s="582"/>
      <c r="N255" s="582"/>
      <c r="O255" s="582"/>
      <c r="P255" s="582"/>
      <c r="Q255" s="511"/>
      <c r="R255" s="511"/>
      <c r="S255" s="511"/>
      <c r="T255" s="639"/>
      <c r="U255" s="511"/>
      <c r="V255" s="511"/>
      <c r="W255" s="511"/>
      <c r="X255" s="511"/>
      <c r="Y255" s="380"/>
      <c r="Z255" s="380"/>
      <c r="AA255" s="380"/>
      <c r="AB255" s="380"/>
      <c r="AC255" s="380"/>
      <c r="AD255" s="671"/>
      <c r="AE255" s="380"/>
      <c r="AF255" s="380"/>
      <c r="AG255" s="380"/>
      <c r="AH255" s="671"/>
      <c r="AI255" s="380"/>
      <c r="AJ255" s="583"/>
      <c r="AK255" s="583"/>
      <c r="AL255" s="511"/>
      <c r="AM255" s="584"/>
      <c r="AN255" s="584"/>
      <c r="AO255" s="584"/>
      <c r="AP255" s="671"/>
      <c r="AQ255" s="584"/>
      <c r="AR255" s="583"/>
      <c r="AS255" s="583"/>
      <c r="AT255" s="585"/>
      <c r="AU255" s="585"/>
      <c r="AV255" s="585"/>
      <c r="AW255" s="585"/>
      <c r="AX255" s="673"/>
      <c r="AY255" s="380"/>
      <c r="AZ255" s="380"/>
      <c r="BA255" s="380"/>
      <c r="BB255" s="380"/>
      <c r="BC255" s="380"/>
      <c r="BD255" s="380"/>
      <c r="BE255" s="380"/>
      <c r="BF255" s="380"/>
      <c r="BG255" s="380"/>
      <c r="BH255" s="380"/>
      <c r="BI255" s="511"/>
      <c r="BJ255" s="380"/>
      <c r="BK255" s="380"/>
      <c r="BL255" s="380"/>
      <c r="BM255" s="380"/>
      <c r="BN255" s="380"/>
      <c r="BO255" s="380"/>
      <c r="BP255" s="380"/>
      <c r="BQ255" s="380"/>
      <c r="BR255" s="380"/>
    </row>
    <row r="256" spans="1:70" ht="12.75" customHeight="1" x14ac:dyDescent="0.25">
      <c r="A256" s="380"/>
      <c r="B256" s="380"/>
      <c r="C256" s="380"/>
      <c r="D256" s="380"/>
      <c r="E256" s="511"/>
      <c r="F256" s="511"/>
      <c r="G256" s="582"/>
      <c r="H256" s="511"/>
      <c r="I256" s="511"/>
      <c r="J256" s="582"/>
      <c r="K256" s="511"/>
      <c r="L256" s="511"/>
      <c r="M256" s="582"/>
      <c r="N256" s="582"/>
      <c r="O256" s="582"/>
      <c r="P256" s="582"/>
      <c r="Q256" s="511"/>
      <c r="R256" s="511"/>
      <c r="S256" s="511"/>
      <c r="T256" s="639"/>
      <c r="U256" s="511"/>
      <c r="V256" s="511"/>
      <c r="W256" s="511"/>
      <c r="X256" s="511"/>
      <c r="Y256" s="380"/>
      <c r="Z256" s="380"/>
      <c r="AA256" s="380"/>
      <c r="AB256" s="380"/>
      <c r="AC256" s="380"/>
      <c r="AD256" s="671"/>
      <c r="AE256" s="380"/>
      <c r="AF256" s="380"/>
      <c r="AG256" s="380"/>
      <c r="AH256" s="671"/>
      <c r="AI256" s="380"/>
      <c r="AJ256" s="583"/>
      <c r="AK256" s="583"/>
      <c r="AL256" s="511"/>
      <c r="AM256" s="584"/>
      <c r="AN256" s="584"/>
      <c r="AO256" s="584"/>
      <c r="AP256" s="671"/>
      <c r="AQ256" s="584"/>
      <c r="AR256" s="583"/>
      <c r="AS256" s="583"/>
      <c r="AT256" s="585"/>
      <c r="AU256" s="585"/>
      <c r="AV256" s="585"/>
      <c r="AW256" s="585"/>
      <c r="AX256" s="673"/>
      <c r="AY256" s="380"/>
      <c r="AZ256" s="380"/>
      <c r="BA256" s="380"/>
      <c r="BB256" s="380"/>
      <c r="BC256" s="380"/>
      <c r="BD256" s="380"/>
      <c r="BE256" s="380"/>
      <c r="BF256" s="380"/>
      <c r="BG256" s="380"/>
      <c r="BH256" s="380"/>
      <c r="BI256" s="511"/>
      <c r="BJ256" s="380"/>
      <c r="BK256" s="380"/>
      <c r="BL256" s="380"/>
      <c r="BM256" s="380"/>
      <c r="BN256" s="380"/>
      <c r="BO256" s="380"/>
      <c r="BP256" s="380"/>
      <c r="BQ256" s="380"/>
      <c r="BR256" s="380"/>
    </row>
    <row r="257" spans="1:70" ht="12.75" customHeight="1" x14ac:dyDescent="0.25">
      <c r="A257" s="380"/>
      <c r="B257" s="380"/>
      <c r="C257" s="380"/>
      <c r="D257" s="380"/>
      <c r="E257" s="511"/>
      <c r="F257" s="511"/>
      <c r="G257" s="582"/>
      <c r="H257" s="511"/>
      <c r="I257" s="511"/>
      <c r="J257" s="582"/>
      <c r="K257" s="511"/>
      <c r="L257" s="511"/>
      <c r="M257" s="582"/>
      <c r="N257" s="582"/>
      <c r="O257" s="582"/>
      <c r="P257" s="582"/>
      <c r="Q257" s="511"/>
      <c r="R257" s="511"/>
      <c r="S257" s="511"/>
      <c r="T257" s="639"/>
      <c r="U257" s="511"/>
      <c r="V257" s="511"/>
      <c r="W257" s="511"/>
      <c r="X257" s="511"/>
      <c r="Y257" s="380"/>
      <c r="Z257" s="380"/>
      <c r="AA257" s="380"/>
      <c r="AB257" s="380"/>
      <c r="AC257" s="380"/>
      <c r="AD257" s="671"/>
      <c r="AE257" s="380"/>
      <c r="AF257" s="380"/>
      <c r="AG257" s="380"/>
      <c r="AH257" s="671"/>
      <c r="AI257" s="380"/>
      <c r="AJ257" s="583"/>
      <c r="AK257" s="583"/>
      <c r="AL257" s="511"/>
      <c r="AM257" s="584"/>
      <c r="AN257" s="584"/>
      <c r="AO257" s="584"/>
      <c r="AP257" s="671"/>
      <c r="AQ257" s="584"/>
      <c r="AR257" s="583"/>
      <c r="AS257" s="583"/>
      <c r="AT257" s="585"/>
      <c r="AU257" s="585"/>
      <c r="AV257" s="585"/>
      <c r="AW257" s="585"/>
      <c r="AX257" s="673"/>
      <c r="AY257" s="380"/>
      <c r="AZ257" s="380"/>
      <c r="BA257" s="380"/>
      <c r="BB257" s="380"/>
      <c r="BC257" s="380"/>
      <c r="BD257" s="380"/>
      <c r="BE257" s="380"/>
      <c r="BF257" s="380"/>
      <c r="BG257" s="380"/>
      <c r="BH257" s="380"/>
      <c r="BI257" s="511"/>
      <c r="BJ257" s="380"/>
      <c r="BK257" s="380"/>
      <c r="BL257" s="380"/>
      <c r="BM257" s="380"/>
      <c r="BN257" s="380"/>
      <c r="BO257" s="380"/>
      <c r="BP257" s="380"/>
      <c r="BQ257" s="380"/>
      <c r="BR257" s="380"/>
    </row>
    <row r="258" spans="1:70" ht="12.75" customHeight="1" x14ac:dyDescent="0.25">
      <c r="A258" s="380"/>
      <c r="B258" s="380"/>
      <c r="C258" s="380"/>
      <c r="D258" s="380"/>
      <c r="E258" s="511"/>
      <c r="F258" s="511"/>
      <c r="G258" s="582"/>
      <c r="H258" s="511"/>
      <c r="I258" s="511"/>
      <c r="J258" s="582"/>
      <c r="K258" s="511"/>
      <c r="L258" s="511"/>
      <c r="M258" s="582"/>
      <c r="N258" s="582"/>
      <c r="O258" s="582"/>
      <c r="P258" s="582"/>
      <c r="Q258" s="511"/>
      <c r="R258" s="511"/>
      <c r="S258" s="511"/>
      <c r="T258" s="639"/>
      <c r="U258" s="511"/>
      <c r="V258" s="511"/>
      <c r="W258" s="511"/>
      <c r="X258" s="511"/>
      <c r="Y258" s="380"/>
      <c r="Z258" s="380"/>
      <c r="AA258" s="380"/>
      <c r="AB258" s="380"/>
      <c r="AC258" s="380"/>
      <c r="AD258" s="671"/>
      <c r="AE258" s="380"/>
      <c r="AF258" s="380"/>
      <c r="AG258" s="380"/>
      <c r="AH258" s="671"/>
      <c r="AI258" s="380"/>
      <c r="AJ258" s="583"/>
      <c r="AK258" s="583"/>
      <c r="AL258" s="511"/>
      <c r="AM258" s="584"/>
      <c r="AN258" s="584"/>
      <c r="AO258" s="584"/>
      <c r="AP258" s="671"/>
      <c r="AQ258" s="584"/>
      <c r="AR258" s="583"/>
      <c r="AS258" s="583"/>
      <c r="AT258" s="585"/>
      <c r="AU258" s="585"/>
      <c r="AV258" s="585"/>
      <c r="AW258" s="585"/>
      <c r="AX258" s="673"/>
      <c r="AY258" s="380"/>
      <c r="AZ258" s="380"/>
      <c r="BA258" s="380"/>
      <c r="BB258" s="380"/>
      <c r="BC258" s="380"/>
      <c r="BD258" s="380"/>
      <c r="BE258" s="380"/>
      <c r="BF258" s="380"/>
      <c r="BG258" s="380"/>
      <c r="BH258" s="380"/>
      <c r="BI258" s="511"/>
      <c r="BJ258" s="380"/>
      <c r="BK258" s="380"/>
      <c r="BL258" s="380"/>
      <c r="BM258" s="380"/>
      <c r="BN258" s="380"/>
      <c r="BO258" s="380"/>
      <c r="BP258" s="380"/>
      <c r="BQ258" s="380"/>
      <c r="BR258" s="380"/>
    </row>
    <row r="259" spans="1:70" ht="12.75" customHeight="1" x14ac:dyDescent="0.25">
      <c r="A259" s="380"/>
      <c r="B259" s="380"/>
      <c r="C259" s="380"/>
      <c r="D259" s="380"/>
      <c r="E259" s="511"/>
      <c r="F259" s="511"/>
      <c r="G259" s="582"/>
      <c r="H259" s="511"/>
      <c r="I259" s="511"/>
      <c r="J259" s="582"/>
      <c r="K259" s="511"/>
      <c r="L259" s="511"/>
      <c r="M259" s="582"/>
      <c r="N259" s="582"/>
      <c r="O259" s="582"/>
      <c r="P259" s="582"/>
      <c r="Q259" s="511"/>
      <c r="R259" s="511"/>
      <c r="S259" s="511"/>
      <c r="T259" s="639"/>
      <c r="U259" s="511"/>
      <c r="V259" s="511"/>
      <c r="W259" s="511"/>
      <c r="X259" s="511"/>
      <c r="Y259" s="380"/>
      <c r="Z259" s="380"/>
      <c r="AA259" s="380"/>
      <c r="AB259" s="380"/>
      <c r="AC259" s="380"/>
      <c r="AD259" s="671"/>
      <c r="AE259" s="380"/>
      <c r="AF259" s="380"/>
      <c r="AG259" s="380"/>
      <c r="AH259" s="671"/>
      <c r="AI259" s="380"/>
      <c r="AJ259" s="583"/>
      <c r="AK259" s="583"/>
      <c r="AL259" s="511"/>
      <c r="AM259" s="584"/>
      <c r="AN259" s="584"/>
      <c r="AO259" s="584"/>
      <c r="AP259" s="671"/>
      <c r="AQ259" s="584"/>
      <c r="AR259" s="583"/>
      <c r="AS259" s="583"/>
      <c r="AT259" s="585"/>
      <c r="AU259" s="585"/>
      <c r="AV259" s="585"/>
      <c r="AW259" s="585"/>
      <c r="AX259" s="673"/>
      <c r="AY259" s="380"/>
      <c r="AZ259" s="380"/>
      <c r="BA259" s="380"/>
      <c r="BB259" s="380"/>
      <c r="BC259" s="380"/>
      <c r="BD259" s="380"/>
      <c r="BE259" s="380"/>
      <c r="BF259" s="380"/>
      <c r="BG259" s="380"/>
      <c r="BH259" s="380"/>
      <c r="BI259" s="511"/>
      <c r="BJ259" s="380"/>
      <c r="BK259" s="380"/>
      <c r="BL259" s="380"/>
      <c r="BM259" s="380"/>
      <c r="BN259" s="380"/>
      <c r="BO259" s="380"/>
      <c r="BP259" s="380"/>
      <c r="BQ259" s="380"/>
      <c r="BR259" s="380"/>
    </row>
    <row r="260" spans="1:70" ht="12.75" customHeight="1" x14ac:dyDescent="0.25">
      <c r="A260" s="380"/>
      <c r="B260" s="380"/>
      <c r="C260" s="380"/>
      <c r="D260" s="380"/>
      <c r="E260" s="511"/>
      <c r="F260" s="511"/>
      <c r="G260" s="582"/>
      <c r="H260" s="511"/>
      <c r="I260" s="511"/>
      <c r="J260" s="582"/>
      <c r="K260" s="511"/>
      <c r="L260" s="511"/>
      <c r="M260" s="582"/>
      <c r="N260" s="582"/>
      <c r="O260" s="582"/>
      <c r="P260" s="582"/>
      <c r="Q260" s="511"/>
      <c r="R260" s="511"/>
      <c r="S260" s="511"/>
      <c r="T260" s="639"/>
      <c r="U260" s="511"/>
      <c r="V260" s="511"/>
      <c r="W260" s="511"/>
      <c r="X260" s="511"/>
      <c r="Y260" s="380"/>
      <c r="Z260" s="380"/>
      <c r="AA260" s="380"/>
      <c r="AB260" s="380"/>
      <c r="AC260" s="380"/>
      <c r="AD260" s="671"/>
      <c r="AE260" s="380"/>
      <c r="AF260" s="380"/>
      <c r="AG260" s="380"/>
      <c r="AH260" s="671"/>
      <c r="AI260" s="380"/>
      <c r="AJ260" s="583"/>
      <c r="AK260" s="583"/>
      <c r="AL260" s="511"/>
      <c r="AM260" s="584"/>
      <c r="AN260" s="584"/>
      <c r="AO260" s="584"/>
      <c r="AP260" s="671"/>
      <c r="AQ260" s="584"/>
      <c r="AR260" s="583"/>
      <c r="AS260" s="583"/>
      <c r="AT260" s="585"/>
      <c r="AU260" s="585"/>
      <c r="AV260" s="585"/>
      <c r="AW260" s="585"/>
      <c r="AX260" s="673"/>
      <c r="AY260" s="380"/>
      <c r="AZ260" s="380"/>
      <c r="BA260" s="380"/>
      <c r="BB260" s="380"/>
      <c r="BC260" s="380"/>
      <c r="BD260" s="380"/>
      <c r="BE260" s="380"/>
      <c r="BF260" s="380"/>
      <c r="BG260" s="380"/>
      <c r="BH260" s="380"/>
      <c r="BI260" s="511"/>
      <c r="BJ260" s="380"/>
      <c r="BK260" s="380"/>
      <c r="BL260" s="380"/>
      <c r="BM260" s="380"/>
      <c r="BN260" s="380"/>
      <c r="BO260" s="380"/>
      <c r="BP260" s="380"/>
      <c r="BQ260" s="380"/>
      <c r="BR260" s="380"/>
    </row>
    <row r="261" spans="1:70" ht="12.75" customHeight="1" x14ac:dyDescent="0.25">
      <c r="A261" s="380"/>
      <c r="B261" s="380"/>
      <c r="C261" s="380"/>
      <c r="D261" s="380"/>
      <c r="E261" s="511"/>
      <c r="F261" s="511"/>
      <c r="G261" s="582"/>
      <c r="H261" s="511"/>
      <c r="I261" s="511"/>
      <c r="J261" s="582"/>
      <c r="K261" s="511"/>
      <c r="L261" s="511"/>
      <c r="M261" s="582"/>
      <c r="N261" s="582"/>
      <c r="O261" s="582"/>
      <c r="P261" s="582"/>
      <c r="Q261" s="511"/>
      <c r="R261" s="511"/>
      <c r="S261" s="511"/>
      <c r="T261" s="639"/>
      <c r="U261" s="511"/>
      <c r="V261" s="511"/>
      <c r="W261" s="511"/>
      <c r="X261" s="511"/>
      <c r="Y261" s="380"/>
      <c r="Z261" s="380"/>
      <c r="AA261" s="380"/>
      <c r="AB261" s="380"/>
      <c r="AC261" s="380"/>
      <c r="AD261" s="671"/>
      <c r="AE261" s="380"/>
      <c r="AF261" s="380"/>
      <c r="AG261" s="380"/>
      <c r="AH261" s="671"/>
      <c r="AI261" s="380"/>
      <c r="AJ261" s="583"/>
      <c r="AK261" s="583"/>
      <c r="AL261" s="511"/>
      <c r="AM261" s="584"/>
      <c r="AN261" s="584"/>
      <c r="AO261" s="584"/>
      <c r="AP261" s="671"/>
      <c r="AQ261" s="584"/>
      <c r="AR261" s="583"/>
      <c r="AS261" s="583"/>
      <c r="AT261" s="585"/>
      <c r="AU261" s="585"/>
      <c r="AV261" s="585"/>
      <c r="AW261" s="585"/>
      <c r="AX261" s="673"/>
      <c r="AY261" s="380"/>
      <c r="AZ261" s="380"/>
      <c r="BA261" s="380"/>
      <c r="BB261" s="380"/>
      <c r="BC261" s="380"/>
      <c r="BD261" s="380"/>
      <c r="BE261" s="380"/>
      <c r="BF261" s="380"/>
      <c r="BG261" s="380"/>
      <c r="BH261" s="380"/>
      <c r="BI261" s="511"/>
      <c r="BJ261" s="380"/>
      <c r="BK261" s="380"/>
      <c r="BL261" s="380"/>
      <c r="BM261" s="380"/>
      <c r="BN261" s="380"/>
      <c r="BO261" s="380"/>
      <c r="BP261" s="380"/>
      <c r="BQ261" s="380"/>
      <c r="BR261" s="380"/>
    </row>
    <row r="262" spans="1:70" ht="12.75" customHeight="1" x14ac:dyDescent="0.25">
      <c r="A262" s="380"/>
      <c r="B262" s="380"/>
      <c r="C262" s="380"/>
      <c r="D262" s="380"/>
      <c r="E262" s="511"/>
      <c r="F262" s="511"/>
      <c r="G262" s="582"/>
      <c r="H262" s="511"/>
      <c r="I262" s="511"/>
      <c r="J262" s="582"/>
      <c r="K262" s="511"/>
      <c r="L262" s="511"/>
      <c r="M262" s="582"/>
      <c r="N262" s="582"/>
      <c r="O262" s="582"/>
      <c r="P262" s="582"/>
      <c r="Q262" s="511"/>
      <c r="R262" s="511"/>
      <c r="S262" s="511"/>
      <c r="T262" s="639"/>
      <c r="U262" s="511"/>
      <c r="V262" s="511"/>
      <c r="W262" s="511"/>
      <c r="X262" s="511"/>
      <c r="Y262" s="380"/>
      <c r="Z262" s="380"/>
      <c r="AA262" s="380"/>
      <c r="AB262" s="380"/>
      <c r="AC262" s="380"/>
      <c r="AD262" s="671"/>
      <c r="AE262" s="380"/>
      <c r="AF262" s="380"/>
      <c r="AG262" s="380"/>
      <c r="AH262" s="671"/>
      <c r="AI262" s="380"/>
      <c r="AJ262" s="583"/>
      <c r="AK262" s="583"/>
      <c r="AL262" s="511"/>
      <c r="AM262" s="584"/>
      <c r="AN262" s="584"/>
      <c r="AO262" s="584"/>
      <c r="AP262" s="671"/>
      <c r="AQ262" s="584"/>
      <c r="AR262" s="583"/>
      <c r="AS262" s="583"/>
      <c r="AT262" s="585"/>
      <c r="AU262" s="585"/>
      <c r="AV262" s="585"/>
      <c r="AW262" s="585"/>
      <c r="AX262" s="673"/>
      <c r="AY262" s="380"/>
      <c r="AZ262" s="380"/>
      <c r="BA262" s="380"/>
      <c r="BB262" s="380"/>
      <c r="BC262" s="380"/>
      <c r="BD262" s="380"/>
      <c r="BE262" s="380"/>
      <c r="BF262" s="380"/>
      <c r="BG262" s="380"/>
      <c r="BH262" s="380"/>
      <c r="BI262" s="511"/>
      <c r="BJ262" s="380"/>
      <c r="BK262" s="380"/>
      <c r="BL262" s="380"/>
      <c r="BM262" s="380"/>
      <c r="BN262" s="380"/>
      <c r="BO262" s="380"/>
      <c r="BP262" s="380"/>
      <c r="BQ262" s="380"/>
      <c r="BR262" s="380"/>
    </row>
    <row r="263" spans="1:70" ht="12.75" customHeight="1" x14ac:dyDescent="0.25">
      <c r="A263" s="380"/>
      <c r="B263" s="380"/>
      <c r="C263" s="380"/>
      <c r="D263" s="380"/>
      <c r="E263" s="511"/>
      <c r="F263" s="511"/>
      <c r="G263" s="582"/>
      <c r="H263" s="511"/>
      <c r="I263" s="511"/>
      <c r="J263" s="582"/>
      <c r="K263" s="511"/>
      <c r="L263" s="511"/>
      <c r="M263" s="582"/>
      <c r="N263" s="582"/>
      <c r="O263" s="582"/>
      <c r="P263" s="582"/>
      <c r="Q263" s="511"/>
      <c r="R263" s="511"/>
      <c r="S263" s="511"/>
      <c r="T263" s="639"/>
      <c r="U263" s="511"/>
      <c r="V263" s="511"/>
      <c r="W263" s="511"/>
      <c r="X263" s="511"/>
      <c r="Y263" s="380"/>
      <c r="Z263" s="380"/>
      <c r="AA263" s="380"/>
      <c r="AB263" s="380"/>
      <c r="AC263" s="380"/>
      <c r="AD263" s="671"/>
      <c r="AE263" s="380"/>
      <c r="AF263" s="380"/>
      <c r="AG263" s="380"/>
      <c r="AH263" s="671"/>
      <c r="AI263" s="380"/>
      <c r="AJ263" s="583"/>
      <c r="AK263" s="583"/>
      <c r="AL263" s="511"/>
      <c r="AM263" s="584"/>
      <c r="AN263" s="584"/>
      <c r="AO263" s="584"/>
      <c r="AP263" s="671"/>
      <c r="AQ263" s="584"/>
      <c r="AR263" s="583"/>
      <c r="AS263" s="583"/>
      <c r="AT263" s="585"/>
      <c r="AU263" s="585"/>
      <c r="AV263" s="585"/>
      <c r="AW263" s="585"/>
      <c r="AX263" s="673"/>
      <c r="AY263" s="380"/>
      <c r="AZ263" s="380"/>
      <c r="BA263" s="380"/>
      <c r="BB263" s="380"/>
      <c r="BC263" s="380"/>
      <c r="BD263" s="380"/>
      <c r="BE263" s="380"/>
      <c r="BF263" s="380"/>
      <c r="BG263" s="380"/>
      <c r="BH263" s="380"/>
      <c r="BI263" s="511"/>
      <c r="BJ263" s="380"/>
      <c r="BK263" s="380"/>
      <c r="BL263" s="380"/>
      <c r="BM263" s="380"/>
      <c r="BN263" s="380"/>
      <c r="BO263" s="380"/>
      <c r="BP263" s="380"/>
      <c r="BQ263" s="380"/>
      <c r="BR263" s="380"/>
    </row>
    <row r="264" spans="1:70" ht="12.75" customHeight="1" x14ac:dyDescent="0.25">
      <c r="A264" s="380"/>
      <c r="B264" s="380"/>
      <c r="C264" s="380"/>
      <c r="D264" s="380"/>
      <c r="E264" s="511"/>
      <c r="F264" s="511"/>
      <c r="G264" s="582"/>
      <c r="H264" s="511"/>
      <c r="I264" s="511"/>
      <c r="J264" s="582"/>
      <c r="K264" s="511"/>
      <c r="L264" s="511"/>
      <c r="M264" s="582"/>
      <c r="N264" s="582"/>
      <c r="O264" s="582"/>
      <c r="P264" s="582"/>
      <c r="Q264" s="511"/>
      <c r="R264" s="511"/>
      <c r="S264" s="511"/>
      <c r="T264" s="639"/>
      <c r="U264" s="511"/>
      <c r="V264" s="511"/>
      <c r="W264" s="511"/>
      <c r="X264" s="511"/>
      <c r="Y264" s="380"/>
      <c r="Z264" s="380"/>
      <c r="AA264" s="380"/>
      <c r="AB264" s="380"/>
      <c r="AC264" s="380"/>
      <c r="AD264" s="671"/>
      <c r="AE264" s="380"/>
      <c r="AF264" s="380"/>
      <c r="AG264" s="380"/>
      <c r="AH264" s="671"/>
      <c r="AI264" s="380"/>
      <c r="AJ264" s="583"/>
      <c r="AK264" s="583"/>
      <c r="AL264" s="511"/>
      <c r="AM264" s="584"/>
      <c r="AN264" s="584"/>
      <c r="AO264" s="584"/>
      <c r="AP264" s="671"/>
      <c r="AQ264" s="584"/>
      <c r="AR264" s="583"/>
      <c r="AS264" s="583"/>
      <c r="AT264" s="585"/>
      <c r="AU264" s="585"/>
      <c r="AV264" s="585"/>
      <c r="AW264" s="585"/>
      <c r="AX264" s="673"/>
      <c r="AY264" s="380"/>
      <c r="AZ264" s="380"/>
      <c r="BA264" s="380"/>
      <c r="BB264" s="380"/>
      <c r="BC264" s="380"/>
      <c r="BD264" s="380"/>
      <c r="BE264" s="380"/>
      <c r="BF264" s="380"/>
      <c r="BG264" s="380"/>
      <c r="BH264" s="380"/>
      <c r="BI264" s="511"/>
      <c r="BJ264" s="380"/>
      <c r="BK264" s="380"/>
      <c r="BL264" s="380"/>
      <c r="BM264" s="380"/>
      <c r="BN264" s="380"/>
      <c r="BO264" s="380"/>
      <c r="BP264" s="380"/>
      <c r="BQ264" s="380"/>
      <c r="BR264" s="380"/>
    </row>
    <row r="265" spans="1:70" ht="12.75" customHeight="1" x14ac:dyDescent="0.25">
      <c r="A265" s="380"/>
      <c r="B265" s="380"/>
      <c r="C265" s="380"/>
      <c r="D265" s="380"/>
      <c r="E265" s="511"/>
      <c r="F265" s="511"/>
      <c r="G265" s="582"/>
      <c r="H265" s="511"/>
      <c r="I265" s="511"/>
      <c r="J265" s="582"/>
      <c r="K265" s="511"/>
      <c r="L265" s="511"/>
      <c r="M265" s="582"/>
      <c r="N265" s="582"/>
      <c r="O265" s="582"/>
      <c r="P265" s="582"/>
      <c r="Q265" s="511"/>
      <c r="R265" s="511"/>
      <c r="S265" s="511"/>
      <c r="T265" s="639"/>
      <c r="U265" s="511"/>
      <c r="V265" s="511"/>
      <c r="W265" s="511"/>
      <c r="X265" s="511"/>
      <c r="Y265" s="380"/>
      <c r="Z265" s="380"/>
      <c r="AA265" s="380"/>
      <c r="AB265" s="380"/>
      <c r="AC265" s="380"/>
      <c r="AD265" s="671"/>
      <c r="AE265" s="380"/>
      <c r="AF265" s="380"/>
      <c r="AG265" s="380"/>
      <c r="AH265" s="671"/>
      <c r="AI265" s="380"/>
      <c r="AJ265" s="583"/>
      <c r="AK265" s="583"/>
      <c r="AL265" s="511"/>
      <c r="AM265" s="584"/>
      <c r="AN265" s="584"/>
      <c r="AO265" s="584"/>
      <c r="AP265" s="671"/>
      <c r="AQ265" s="584"/>
      <c r="AR265" s="583"/>
      <c r="AS265" s="583"/>
      <c r="AT265" s="585"/>
      <c r="AU265" s="585"/>
      <c r="AV265" s="585"/>
      <c r="AW265" s="585"/>
      <c r="AX265" s="673"/>
      <c r="AY265" s="380"/>
      <c r="AZ265" s="380"/>
      <c r="BA265" s="380"/>
      <c r="BB265" s="380"/>
      <c r="BC265" s="380"/>
      <c r="BD265" s="380"/>
      <c r="BE265" s="380"/>
      <c r="BF265" s="380"/>
      <c r="BG265" s="380"/>
      <c r="BH265" s="380"/>
      <c r="BI265" s="511"/>
      <c r="BJ265" s="380"/>
      <c r="BK265" s="380"/>
      <c r="BL265" s="380"/>
      <c r="BM265" s="380"/>
      <c r="BN265" s="380"/>
      <c r="BO265" s="380"/>
      <c r="BP265" s="380"/>
      <c r="BQ265" s="380"/>
      <c r="BR265" s="380"/>
    </row>
    <row r="266" spans="1:70" ht="12.75" customHeight="1" x14ac:dyDescent="0.25">
      <c r="A266" s="380"/>
      <c r="B266" s="380"/>
      <c r="C266" s="380"/>
      <c r="D266" s="380"/>
      <c r="E266" s="511"/>
      <c r="F266" s="511"/>
      <c r="G266" s="582"/>
      <c r="H266" s="511"/>
      <c r="I266" s="511"/>
      <c r="J266" s="582"/>
      <c r="K266" s="511"/>
      <c r="L266" s="511"/>
      <c r="M266" s="582"/>
      <c r="N266" s="582"/>
      <c r="O266" s="582"/>
      <c r="P266" s="582"/>
      <c r="Q266" s="511"/>
      <c r="R266" s="511"/>
      <c r="S266" s="511"/>
      <c r="T266" s="639"/>
      <c r="U266" s="511"/>
      <c r="V266" s="511"/>
      <c r="W266" s="511"/>
      <c r="X266" s="511"/>
      <c r="Y266" s="380"/>
      <c r="Z266" s="380"/>
      <c r="AA266" s="380"/>
      <c r="AB266" s="380"/>
      <c r="AC266" s="380"/>
      <c r="AD266" s="671"/>
      <c r="AE266" s="380"/>
      <c r="AF266" s="380"/>
      <c r="AG266" s="380"/>
      <c r="AH266" s="671"/>
      <c r="AI266" s="380"/>
      <c r="AJ266" s="583"/>
      <c r="AK266" s="583"/>
      <c r="AL266" s="511"/>
      <c r="AM266" s="584"/>
      <c r="AN266" s="584"/>
      <c r="AO266" s="584"/>
      <c r="AP266" s="671"/>
      <c r="AQ266" s="584"/>
      <c r="AR266" s="583"/>
      <c r="AS266" s="583"/>
      <c r="AT266" s="585"/>
      <c r="AU266" s="585"/>
      <c r="AV266" s="585"/>
      <c r="AW266" s="585"/>
      <c r="AX266" s="673"/>
      <c r="AY266" s="380"/>
      <c r="AZ266" s="380"/>
      <c r="BA266" s="380"/>
      <c r="BB266" s="380"/>
      <c r="BC266" s="380"/>
      <c r="BD266" s="380"/>
      <c r="BE266" s="380"/>
      <c r="BF266" s="380"/>
      <c r="BG266" s="380"/>
      <c r="BH266" s="380"/>
      <c r="BI266" s="511"/>
      <c r="BJ266" s="380"/>
      <c r="BK266" s="380"/>
      <c r="BL266" s="380"/>
      <c r="BM266" s="380"/>
      <c r="BN266" s="380"/>
      <c r="BO266" s="380"/>
      <c r="BP266" s="380"/>
      <c r="BQ266" s="380"/>
      <c r="BR266" s="380"/>
    </row>
    <row r="267" spans="1:70" ht="12.75" customHeight="1" x14ac:dyDescent="0.25">
      <c r="A267" s="380"/>
      <c r="B267" s="380"/>
      <c r="C267" s="380"/>
      <c r="D267" s="380"/>
      <c r="E267" s="511"/>
      <c r="F267" s="511"/>
      <c r="G267" s="582"/>
      <c r="H267" s="511"/>
      <c r="I267" s="511"/>
      <c r="J267" s="582"/>
      <c r="K267" s="511"/>
      <c r="L267" s="511"/>
      <c r="M267" s="582"/>
      <c r="N267" s="582"/>
      <c r="O267" s="582"/>
      <c r="P267" s="582"/>
      <c r="Q267" s="511"/>
      <c r="R267" s="511"/>
      <c r="S267" s="511"/>
      <c r="T267" s="639"/>
      <c r="U267" s="511"/>
      <c r="V267" s="511"/>
      <c r="W267" s="511"/>
      <c r="X267" s="511"/>
      <c r="Y267" s="380"/>
      <c r="Z267" s="380"/>
      <c r="AA267" s="380"/>
      <c r="AB267" s="380"/>
      <c r="AC267" s="380"/>
      <c r="AD267" s="671"/>
      <c r="AE267" s="380"/>
      <c r="AF267" s="380"/>
      <c r="AG267" s="380"/>
      <c r="AH267" s="671"/>
      <c r="AI267" s="380"/>
      <c r="AJ267" s="583"/>
      <c r="AK267" s="583"/>
      <c r="AL267" s="511"/>
      <c r="AM267" s="584"/>
      <c r="AN267" s="584"/>
      <c r="AO267" s="584"/>
      <c r="AP267" s="671"/>
      <c r="AQ267" s="584"/>
      <c r="AR267" s="583"/>
      <c r="AS267" s="583"/>
      <c r="AT267" s="585"/>
      <c r="AU267" s="585"/>
      <c r="AV267" s="585"/>
      <c r="AW267" s="585"/>
      <c r="AX267" s="673"/>
      <c r="AY267" s="380"/>
      <c r="AZ267" s="380"/>
      <c r="BA267" s="380"/>
      <c r="BB267" s="380"/>
      <c r="BC267" s="380"/>
      <c r="BD267" s="380"/>
      <c r="BE267" s="380"/>
      <c r="BF267" s="380"/>
      <c r="BG267" s="380"/>
      <c r="BH267" s="380"/>
      <c r="BI267" s="511"/>
      <c r="BJ267" s="380"/>
      <c r="BK267" s="380"/>
      <c r="BL267" s="380"/>
      <c r="BM267" s="380"/>
      <c r="BN267" s="380"/>
      <c r="BO267" s="380"/>
      <c r="BP267" s="380"/>
      <c r="BQ267" s="380"/>
      <c r="BR267" s="380"/>
    </row>
    <row r="268" spans="1:70" ht="12.75" customHeight="1" x14ac:dyDescent="0.25">
      <c r="A268" s="380"/>
      <c r="B268" s="380"/>
      <c r="C268" s="380"/>
      <c r="D268" s="380"/>
      <c r="E268" s="511"/>
      <c r="F268" s="511"/>
      <c r="G268" s="582"/>
      <c r="H268" s="511"/>
      <c r="I268" s="511"/>
      <c r="J268" s="582"/>
      <c r="K268" s="511"/>
      <c r="L268" s="511"/>
      <c r="M268" s="582"/>
      <c r="N268" s="582"/>
      <c r="O268" s="582"/>
      <c r="P268" s="582"/>
      <c r="Q268" s="511"/>
      <c r="R268" s="511"/>
      <c r="S268" s="511"/>
      <c r="T268" s="639"/>
      <c r="U268" s="511"/>
      <c r="V268" s="511"/>
      <c r="W268" s="511"/>
      <c r="X268" s="511"/>
      <c r="Y268" s="380"/>
      <c r="Z268" s="380"/>
      <c r="AA268" s="380"/>
      <c r="AB268" s="380"/>
      <c r="AC268" s="380"/>
      <c r="AD268" s="671"/>
      <c r="AE268" s="380"/>
      <c r="AF268" s="380"/>
      <c r="AG268" s="380"/>
      <c r="AH268" s="671"/>
      <c r="AI268" s="380"/>
      <c r="AJ268" s="583"/>
      <c r="AK268" s="583"/>
      <c r="AL268" s="511"/>
      <c r="AM268" s="584"/>
      <c r="AN268" s="584"/>
      <c r="AO268" s="584"/>
      <c r="AP268" s="671"/>
      <c r="AQ268" s="584"/>
      <c r="AR268" s="583"/>
      <c r="AS268" s="583"/>
      <c r="AT268" s="585"/>
      <c r="AU268" s="585"/>
      <c r="AV268" s="585"/>
      <c r="AW268" s="585"/>
      <c r="AX268" s="673"/>
      <c r="AY268" s="380"/>
      <c r="AZ268" s="380"/>
      <c r="BA268" s="380"/>
      <c r="BB268" s="380"/>
      <c r="BC268" s="380"/>
      <c r="BD268" s="380"/>
      <c r="BE268" s="380"/>
      <c r="BF268" s="380"/>
      <c r="BG268" s="380"/>
      <c r="BH268" s="380"/>
      <c r="BI268" s="511"/>
      <c r="BJ268" s="380"/>
      <c r="BK268" s="380"/>
      <c r="BL268" s="380"/>
      <c r="BM268" s="380"/>
      <c r="BN268" s="380"/>
      <c r="BO268" s="380"/>
      <c r="BP268" s="380"/>
      <c r="BQ268" s="380"/>
      <c r="BR268" s="380"/>
    </row>
    <row r="269" spans="1:70" ht="12.75" customHeight="1" x14ac:dyDescent="0.25">
      <c r="A269" s="380"/>
      <c r="B269" s="380"/>
      <c r="C269" s="380"/>
      <c r="D269" s="380"/>
      <c r="E269" s="511"/>
      <c r="F269" s="511"/>
      <c r="G269" s="582"/>
      <c r="H269" s="511"/>
      <c r="I269" s="511"/>
      <c r="J269" s="582"/>
      <c r="K269" s="511"/>
      <c r="L269" s="511"/>
      <c r="M269" s="582"/>
      <c r="N269" s="582"/>
      <c r="O269" s="582"/>
      <c r="P269" s="582"/>
      <c r="Q269" s="511"/>
      <c r="R269" s="511"/>
      <c r="S269" s="511"/>
      <c r="T269" s="639"/>
      <c r="U269" s="511"/>
      <c r="V269" s="511"/>
      <c r="W269" s="511"/>
      <c r="X269" s="511"/>
      <c r="Y269" s="380"/>
      <c r="Z269" s="380"/>
      <c r="AA269" s="380"/>
      <c r="AB269" s="380"/>
      <c r="AC269" s="380"/>
      <c r="AD269" s="671"/>
      <c r="AE269" s="380"/>
      <c r="AF269" s="380"/>
      <c r="AG269" s="380"/>
      <c r="AH269" s="671"/>
      <c r="AI269" s="380"/>
      <c r="AJ269" s="583"/>
      <c r="AK269" s="583"/>
      <c r="AL269" s="511"/>
      <c r="AM269" s="584"/>
      <c r="AN269" s="584"/>
      <c r="AO269" s="584"/>
      <c r="AP269" s="671"/>
      <c r="AQ269" s="584"/>
      <c r="AR269" s="583"/>
      <c r="AS269" s="583"/>
      <c r="AT269" s="585"/>
      <c r="AU269" s="585"/>
      <c r="AV269" s="585"/>
      <c r="AW269" s="585"/>
      <c r="AX269" s="673"/>
      <c r="AY269" s="380"/>
      <c r="AZ269" s="380"/>
      <c r="BA269" s="380"/>
      <c r="BB269" s="380"/>
      <c r="BC269" s="380"/>
      <c r="BD269" s="380"/>
      <c r="BE269" s="380"/>
      <c r="BF269" s="380"/>
      <c r="BG269" s="380"/>
      <c r="BH269" s="380"/>
      <c r="BI269" s="511"/>
      <c r="BJ269" s="380"/>
      <c r="BK269" s="380"/>
      <c r="BL269" s="380"/>
      <c r="BM269" s="380"/>
      <c r="BN269" s="380"/>
      <c r="BO269" s="380"/>
      <c r="BP269" s="380"/>
      <c r="BQ269" s="380"/>
      <c r="BR269" s="380"/>
    </row>
    <row r="270" spans="1:70" ht="12.75" customHeight="1" x14ac:dyDescent="0.25">
      <c r="A270" s="380"/>
      <c r="B270" s="380"/>
      <c r="C270" s="380"/>
      <c r="D270" s="380"/>
      <c r="E270" s="511"/>
      <c r="F270" s="511"/>
      <c r="G270" s="582"/>
      <c r="H270" s="511"/>
      <c r="I270" s="511"/>
      <c r="J270" s="582"/>
      <c r="K270" s="511"/>
      <c r="L270" s="511"/>
      <c r="M270" s="582"/>
      <c r="N270" s="582"/>
      <c r="O270" s="582"/>
      <c r="P270" s="582"/>
      <c r="Q270" s="511"/>
      <c r="R270" s="511"/>
      <c r="S270" s="511"/>
      <c r="T270" s="639"/>
      <c r="U270" s="511"/>
      <c r="V270" s="511"/>
      <c r="W270" s="511"/>
      <c r="X270" s="511"/>
      <c r="Y270" s="380"/>
      <c r="Z270" s="380"/>
      <c r="AA270" s="380"/>
      <c r="AB270" s="380"/>
      <c r="AC270" s="380"/>
      <c r="AD270" s="671"/>
      <c r="AE270" s="380"/>
      <c r="AF270" s="380"/>
      <c r="AG270" s="380"/>
      <c r="AH270" s="671"/>
      <c r="AI270" s="380"/>
      <c r="AJ270" s="583"/>
      <c r="AK270" s="583"/>
      <c r="AL270" s="511"/>
      <c r="AM270" s="584"/>
      <c r="AN270" s="584"/>
      <c r="AO270" s="584"/>
      <c r="AP270" s="671"/>
      <c r="AQ270" s="584"/>
      <c r="AR270" s="583"/>
      <c r="AS270" s="583"/>
      <c r="AT270" s="585"/>
      <c r="AU270" s="585"/>
      <c r="AV270" s="585"/>
      <c r="AW270" s="585"/>
      <c r="AX270" s="673"/>
      <c r="AY270" s="380"/>
      <c r="AZ270" s="380"/>
      <c r="BA270" s="380"/>
      <c r="BB270" s="380"/>
      <c r="BC270" s="380"/>
      <c r="BD270" s="380"/>
      <c r="BE270" s="380"/>
      <c r="BF270" s="380"/>
      <c r="BG270" s="380"/>
      <c r="BH270" s="380"/>
      <c r="BI270" s="511"/>
      <c r="BJ270" s="380"/>
      <c r="BK270" s="380"/>
      <c r="BL270" s="380"/>
      <c r="BM270" s="380"/>
      <c r="BN270" s="380"/>
      <c r="BO270" s="380"/>
      <c r="BP270" s="380"/>
      <c r="BQ270" s="380"/>
      <c r="BR270" s="380"/>
    </row>
    <row r="271" spans="1:70" ht="12.75" customHeight="1" x14ac:dyDescent="0.25">
      <c r="A271" s="380"/>
      <c r="B271" s="380"/>
      <c r="C271" s="380"/>
      <c r="D271" s="380"/>
      <c r="E271" s="511"/>
      <c r="F271" s="511"/>
      <c r="G271" s="582"/>
      <c r="H271" s="511"/>
      <c r="I271" s="511"/>
      <c r="J271" s="582"/>
      <c r="K271" s="511"/>
      <c r="L271" s="511"/>
      <c r="M271" s="582"/>
      <c r="N271" s="582"/>
      <c r="O271" s="582"/>
      <c r="P271" s="582"/>
      <c r="Q271" s="511"/>
      <c r="R271" s="511"/>
      <c r="S271" s="511"/>
      <c r="T271" s="639"/>
      <c r="U271" s="511"/>
      <c r="V271" s="511"/>
      <c r="W271" s="511"/>
      <c r="X271" s="511"/>
      <c r="Y271" s="380"/>
      <c r="Z271" s="380"/>
      <c r="AA271" s="380"/>
      <c r="AB271" s="380"/>
      <c r="AC271" s="380"/>
      <c r="AD271" s="671"/>
      <c r="AE271" s="380"/>
      <c r="AF271" s="380"/>
      <c r="AG271" s="380"/>
      <c r="AH271" s="671"/>
      <c r="AI271" s="380"/>
      <c r="AJ271" s="583"/>
      <c r="AK271" s="583"/>
      <c r="AL271" s="511"/>
      <c r="AM271" s="584"/>
      <c r="AN271" s="584"/>
      <c r="AO271" s="584"/>
      <c r="AP271" s="671"/>
      <c r="AQ271" s="584"/>
      <c r="AR271" s="583"/>
      <c r="AS271" s="583"/>
      <c r="AT271" s="585"/>
      <c r="AU271" s="585"/>
      <c r="AV271" s="585"/>
      <c r="AW271" s="585"/>
      <c r="AX271" s="673"/>
      <c r="AY271" s="380"/>
      <c r="AZ271" s="380"/>
      <c r="BA271" s="380"/>
      <c r="BB271" s="380"/>
      <c r="BC271" s="380"/>
      <c r="BD271" s="380"/>
      <c r="BE271" s="380"/>
      <c r="BF271" s="380"/>
      <c r="BG271" s="380"/>
      <c r="BH271" s="380"/>
      <c r="BI271" s="511"/>
      <c r="BJ271" s="380"/>
      <c r="BK271" s="380"/>
      <c r="BL271" s="380"/>
      <c r="BM271" s="380"/>
      <c r="BN271" s="380"/>
      <c r="BO271" s="380"/>
      <c r="BP271" s="380"/>
      <c r="BQ271" s="380"/>
      <c r="BR271" s="380"/>
    </row>
    <row r="272" spans="1:70" ht="12.75" customHeight="1" x14ac:dyDescent="0.25">
      <c r="A272" s="380"/>
      <c r="B272" s="380"/>
      <c r="C272" s="380"/>
      <c r="D272" s="380"/>
      <c r="E272" s="511"/>
      <c r="F272" s="511"/>
      <c r="G272" s="582"/>
      <c r="H272" s="511"/>
      <c r="I272" s="511"/>
      <c r="J272" s="582"/>
      <c r="K272" s="511"/>
      <c r="L272" s="511"/>
      <c r="M272" s="582"/>
      <c r="N272" s="582"/>
      <c r="O272" s="582"/>
      <c r="P272" s="582"/>
      <c r="Q272" s="511"/>
      <c r="R272" s="511"/>
      <c r="S272" s="511"/>
      <c r="T272" s="639"/>
      <c r="U272" s="511"/>
      <c r="V272" s="511"/>
      <c r="W272" s="511"/>
      <c r="X272" s="511"/>
      <c r="Y272" s="380"/>
      <c r="Z272" s="380"/>
      <c r="AA272" s="380"/>
      <c r="AB272" s="380"/>
      <c r="AC272" s="380"/>
      <c r="AD272" s="671"/>
      <c r="AE272" s="380"/>
      <c r="AF272" s="380"/>
      <c r="AG272" s="380"/>
      <c r="AH272" s="671"/>
      <c r="AI272" s="380"/>
      <c r="AJ272" s="583"/>
      <c r="AK272" s="583"/>
      <c r="AL272" s="511"/>
      <c r="AM272" s="584"/>
      <c r="AN272" s="584"/>
      <c r="AO272" s="584"/>
      <c r="AP272" s="671"/>
      <c r="AQ272" s="584"/>
      <c r="AR272" s="583"/>
      <c r="AS272" s="583"/>
      <c r="AT272" s="585"/>
      <c r="AU272" s="585"/>
      <c r="AV272" s="585"/>
      <c r="AW272" s="585"/>
      <c r="AX272" s="673"/>
      <c r="AY272" s="380"/>
      <c r="AZ272" s="380"/>
      <c r="BA272" s="380"/>
      <c r="BB272" s="380"/>
      <c r="BC272" s="380"/>
      <c r="BD272" s="380"/>
      <c r="BE272" s="380"/>
      <c r="BF272" s="380"/>
      <c r="BG272" s="380"/>
      <c r="BH272" s="380"/>
      <c r="BI272" s="511"/>
      <c r="BJ272" s="380"/>
      <c r="BK272" s="380"/>
      <c r="BL272" s="380"/>
      <c r="BM272" s="380"/>
      <c r="BN272" s="380"/>
      <c r="BO272" s="380"/>
      <c r="BP272" s="380"/>
      <c r="BQ272" s="380"/>
      <c r="BR272" s="380"/>
    </row>
    <row r="273" spans="1:70" ht="12.75" customHeight="1" x14ac:dyDescent="0.25">
      <c r="A273" s="380"/>
      <c r="B273" s="380"/>
      <c r="C273" s="380"/>
      <c r="D273" s="380"/>
      <c r="E273" s="511"/>
      <c r="F273" s="511"/>
      <c r="G273" s="582"/>
      <c r="H273" s="511"/>
      <c r="I273" s="511"/>
      <c r="J273" s="582"/>
      <c r="K273" s="511"/>
      <c r="L273" s="511"/>
      <c r="M273" s="582"/>
      <c r="N273" s="582"/>
      <c r="O273" s="582"/>
      <c r="P273" s="582"/>
      <c r="Q273" s="511"/>
      <c r="R273" s="511"/>
      <c r="S273" s="511"/>
      <c r="T273" s="639"/>
      <c r="U273" s="511"/>
      <c r="V273" s="511"/>
      <c r="W273" s="511"/>
      <c r="X273" s="511"/>
      <c r="Y273" s="380"/>
      <c r="Z273" s="380"/>
      <c r="AA273" s="380"/>
      <c r="AB273" s="380"/>
      <c r="AC273" s="380"/>
      <c r="AD273" s="671"/>
      <c r="AE273" s="380"/>
      <c r="AF273" s="380"/>
      <c r="AG273" s="380"/>
      <c r="AH273" s="671"/>
      <c r="AI273" s="380"/>
      <c r="AJ273" s="583"/>
      <c r="AK273" s="583"/>
      <c r="AL273" s="511"/>
      <c r="AM273" s="584"/>
      <c r="AN273" s="584"/>
      <c r="AO273" s="584"/>
      <c r="AP273" s="671"/>
      <c r="AQ273" s="584"/>
      <c r="AR273" s="583"/>
      <c r="AS273" s="583"/>
      <c r="AT273" s="585"/>
      <c r="AU273" s="585"/>
      <c r="AV273" s="585"/>
      <c r="AW273" s="585"/>
      <c r="AX273" s="673"/>
      <c r="AY273" s="380"/>
      <c r="AZ273" s="380"/>
      <c r="BA273" s="380"/>
      <c r="BB273" s="380"/>
      <c r="BC273" s="380"/>
      <c r="BD273" s="380"/>
      <c r="BE273" s="380"/>
      <c r="BF273" s="380"/>
      <c r="BG273" s="380"/>
      <c r="BH273" s="380"/>
      <c r="BI273" s="511"/>
      <c r="BJ273" s="380"/>
      <c r="BK273" s="380"/>
      <c r="BL273" s="380"/>
      <c r="BM273" s="380"/>
      <c r="BN273" s="380"/>
      <c r="BO273" s="380"/>
      <c r="BP273" s="380"/>
      <c r="BQ273" s="380"/>
      <c r="BR273" s="380"/>
    </row>
    <row r="274" spans="1:70" ht="12.75" customHeight="1" x14ac:dyDescent="0.25">
      <c r="A274" s="380"/>
      <c r="B274" s="380"/>
      <c r="C274" s="380"/>
      <c r="D274" s="380"/>
      <c r="E274" s="511"/>
      <c r="F274" s="511"/>
      <c r="G274" s="582"/>
      <c r="H274" s="511"/>
      <c r="I274" s="511"/>
      <c r="J274" s="582"/>
      <c r="K274" s="511"/>
      <c r="L274" s="511"/>
      <c r="M274" s="582"/>
      <c r="N274" s="582"/>
      <c r="O274" s="582"/>
      <c r="P274" s="582"/>
      <c r="Q274" s="511"/>
      <c r="R274" s="511"/>
      <c r="S274" s="511"/>
      <c r="T274" s="639"/>
      <c r="U274" s="511"/>
      <c r="V274" s="511"/>
      <c r="W274" s="511"/>
      <c r="X274" s="511"/>
      <c r="Y274" s="380"/>
      <c r="Z274" s="380"/>
      <c r="AA274" s="380"/>
      <c r="AB274" s="380"/>
      <c r="AC274" s="380"/>
      <c r="AD274" s="671"/>
      <c r="AE274" s="380"/>
      <c r="AF274" s="380"/>
      <c r="AG274" s="380"/>
      <c r="AH274" s="671"/>
      <c r="AI274" s="380"/>
      <c r="AJ274" s="583"/>
      <c r="AK274" s="583"/>
      <c r="AL274" s="511"/>
      <c r="AM274" s="584"/>
      <c r="AN274" s="584"/>
      <c r="AO274" s="584"/>
      <c r="AP274" s="671"/>
      <c r="AQ274" s="584"/>
      <c r="AR274" s="583"/>
      <c r="AS274" s="583"/>
      <c r="AT274" s="585"/>
      <c r="AU274" s="585"/>
      <c r="AV274" s="585"/>
      <c r="AW274" s="585"/>
      <c r="AX274" s="673"/>
      <c r="AY274" s="380"/>
      <c r="AZ274" s="380"/>
      <c r="BA274" s="380"/>
      <c r="BB274" s="380"/>
      <c r="BC274" s="380"/>
      <c r="BD274" s="380"/>
      <c r="BE274" s="380"/>
      <c r="BF274" s="380"/>
      <c r="BG274" s="380"/>
      <c r="BH274" s="380"/>
      <c r="BI274" s="511"/>
      <c r="BJ274" s="380"/>
      <c r="BK274" s="380"/>
      <c r="BL274" s="380"/>
      <c r="BM274" s="380"/>
      <c r="BN274" s="380"/>
      <c r="BO274" s="380"/>
      <c r="BP274" s="380"/>
      <c r="BQ274" s="380"/>
      <c r="BR274" s="380"/>
    </row>
    <row r="275" spans="1:70" ht="12.75" customHeight="1" x14ac:dyDescent="0.25">
      <c r="A275" s="380"/>
      <c r="B275" s="380"/>
      <c r="C275" s="380"/>
      <c r="D275" s="380"/>
      <c r="E275" s="511"/>
      <c r="F275" s="511"/>
      <c r="G275" s="582"/>
      <c r="H275" s="511"/>
      <c r="I275" s="511"/>
      <c r="J275" s="582"/>
      <c r="K275" s="511"/>
      <c r="L275" s="511"/>
      <c r="M275" s="582"/>
      <c r="N275" s="582"/>
      <c r="O275" s="582"/>
      <c r="P275" s="582"/>
      <c r="Q275" s="511"/>
      <c r="R275" s="511"/>
      <c r="S275" s="511"/>
      <c r="T275" s="639"/>
      <c r="U275" s="511"/>
      <c r="V275" s="511"/>
      <c r="W275" s="511"/>
      <c r="X275" s="511"/>
      <c r="Y275" s="380"/>
      <c r="Z275" s="380"/>
      <c r="AA275" s="380"/>
      <c r="AB275" s="380"/>
      <c r="AC275" s="380"/>
      <c r="AD275" s="671"/>
      <c r="AE275" s="380"/>
      <c r="AF275" s="380"/>
      <c r="AG275" s="380"/>
      <c r="AH275" s="671"/>
      <c r="AI275" s="380"/>
      <c r="AJ275" s="583"/>
      <c r="AK275" s="583"/>
      <c r="AL275" s="511"/>
      <c r="AM275" s="584"/>
      <c r="AN275" s="584"/>
      <c r="AO275" s="584"/>
      <c r="AP275" s="671"/>
      <c r="AQ275" s="584"/>
      <c r="AR275" s="583"/>
      <c r="AS275" s="583"/>
      <c r="AT275" s="585"/>
      <c r="AU275" s="585"/>
      <c r="AV275" s="585"/>
      <c r="AW275" s="585"/>
      <c r="AX275" s="673"/>
      <c r="AY275" s="380"/>
      <c r="AZ275" s="380"/>
      <c r="BA275" s="380"/>
      <c r="BB275" s="380"/>
      <c r="BC275" s="380"/>
      <c r="BD275" s="380"/>
      <c r="BE275" s="380"/>
      <c r="BF275" s="380"/>
      <c r="BG275" s="380"/>
      <c r="BH275" s="380"/>
      <c r="BI275" s="511"/>
      <c r="BJ275" s="380"/>
      <c r="BK275" s="380"/>
      <c r="BL275" s="380"/>
      <c r="BM275" s="380"/>
      <c r="BN275" s="380"/>
      <c r="BO275" s="380"/>
      <c r="BP275" s="380"/>
      <c r="BQ275" s="380"/>
      <c r="BR275" s="380"/>
    </row>
    <row r="276" spans="1:70" ht="12.75" customHeight="1" x14ac:dyDescent="0.25">
      <c r="A276" s="380"/>
      <c r="B276" s="380"/>
      <c r="C276" s="380"/>
      <c r="D276" s="380"/>
      <c r="E276" s="511"/>
      <c r="F276" s="511"/>
      <c r="G276" s="582"/>
      <c r="H276" s="511"/>
      <c r="I276" s="511"/>
      <c r="J276" s="582"/>
      <c r="K276" s="511"/>
      <c r="L276" s="511"/>
      <c r="M276" s="582"/>
      <c r="N276" s="582"/>
      <c r="O276" s="582"/>
      <c r="P276" s="582"/>
      <c r="Q276" s="511"/>
      <c r="R276" s="511"/>
      <c r="S276" s="511"/>
      <c r="T276" s="639"/>
      <c r="U276" s="511"/>
      <c r="V276" s="511"/>
      <c r="W276" s="511"/>
      <c r="X276" s="511"/>
      <c r="Y276" s="380"/>
      <c r="Z276" s="380"/>
      <c r="AA276" s="380"/>
      <c r="AB276" s="380"/>
      <c r="AC276" s="380"/>
      <c r="AD276" s="671"/>
      <c r="AE276" s="380"/>
      <c r="AF276" s="380"/>
      <c r="AG276" s="380"/>
      <c r="AH276" s="671"/>
      <c r="AI276" s="380"/>
      <c r="AJ276" s="583"/>
      <c r="AK276" s="583"/>
      <c r="AL276" s="511"/>
      <c r="AM276" s="584"/>
      <c r="AN276" s="584"/>
      <c r="AO276" s="584"/>
      <c r="AP276" s="671"/>
      <c r="AQ276" s="584"/>
      <c r="AR276" s="583"/>
      <c r="AS276" s="583"/>
      <c r="AT276" s="585"/>
      <c r="AU276" s="585"/>
      <c r="AV276" s="585"/>
      <c r="AW276" s="585"/>
      <c r="AX276" s="673"/>
      <c r="AY276" s="380"/>
      <c r="AZ276" s="380"/>
      <c r="BA276" s="380"/>
      <c r="BB276" s="380"/>
      <c r="BC276" s="380"/>
      <c r="BD276" s="380"/>
      <c r="BE276" s="380"/>
      <c r="BF276" s="380"/>
      <c r="BG276" s="380"/>
      <c r="BH276" s="380"/>
      <c r="BI276" s="511"/>
      <c r="BJ276" s="380"/>
      <c r="BK276" s="380"/>
      <c r="BL276" s="380"/>
      <c r="BM276" s="380"/>
      <c r="BN276" s="380"/>
      <c r="BO276" s="380"/>
      <c r="BP276" s="380"/>
      <c r="BQ276" s="380"/>
      <c r="BR276" s="380"/>
    </row>
    <row r="277" spans="1:70" ht="12.75" customHeight="1" x14ac:dyDescent="0.25">
      <c r="A277" s="380"/>
      <c r="B277" s="380"/>
      <c r="C277" s="380"/>
      <c r="D277" s="380"/>
      <c r="E277" s="511"/>
      <c r="F277" s="511"/>
      <c r="G277" s="582"/>
      <c r="H277" s="511"/>
      <c r="I277" s="511"/>
      <c r="J277" s="582"/>
      <c r="K277" s="511"/>
      <c r="L277" s="511"/>
      <c r="M277" s="582"/>
      <c r="N277" s="582"/>
      <c r="O277" s="582"/>
      <c r="P277" s="582"/>
      <c r="Q277" s="511"/>
      <c r="R277" s="511"/>
      <c r="S277" s="511"/>
      <c r="T277" s="639"/>
      <c r="U277" s="511"/>
      <c r="V277" s="511"/>
      <c r="W277" s="511"/>
      <c r="X277" s="511"/>
      <c r="Y277" s="380"/>
      <c r="Z277" s="380"/>
      <c r="AA277" s="380"/>
      <c r="AB277" s="380"/>
      <c r="AC277" s="380"/>
      <c r="AD277" s="671"/>
      <c r="AE277" s="380"/>
      <c r="AF277" s="380"/>
      <c r="AG277" s="380"/>
      <c r="AH277" s="671"/>
      <c r="AI277" s="380"/>
      <c r="AJ277" s="583"/>
      <c r="AK277" s="583"/>
      <c r="AL277" s="511"/>
      <c r="AM277" s="584"/>
      <c r="AN277" s="584"/>
      <c r="AO277" s="584"/>
      <c r="AP277" s="671"/>
      <c r="AQ277" s="584"/>
      <c r="AR277" s="583"/>
      <c r="AS277" s="583"/>
      <c r="AT277" s="585"/>
      <c r="AU277" s="585"/>
      <c r="AV277" s="585"/>
      <c r="AW277" s="585"/>
      <c r="AX277" s="673"/>
      <c r="AY277" s="380"/>
      <c r="AZ277" s="380"/>
      <c r="BA277" s="380"/>
      <c r="BB277" s="380"/>
      <c r="BC277" s="380"/>
      <c r="BD277" s="380"/>
      <c r="BE277" s="380"/>
      <c r="BF277" s="380"/>
      <c r="BG277" s="380"/>
      <c r="BH277" s="380"/>
      <c r="BI277" s="511"/>
      <c r="BJ277" s="380"/>
      <c r="BK277" s="380"/>
      <c r="BL277" s="380"/>
      <c r="BM277" s="380"/>
      <c r="BN277" s="380"/>
      <c r="BO277" s="380"/>
      <c r="BP277" s="380"/>
      <c r="BQ277" s="380"/>
      <c r="BR277" s="380"/>
    </row>
    <row r="278" spans="1:70" ht="12.75" customHeight="1" x14ac:dyDescent="0.25">
      <c r="A278" s="380"/>
      <c r="B278" s="380"/>
      <c r="C278" s="380"/>
      <c r="D278" s="380"/>
      <c r="E278" s="511"/>
      <c r="F278" s="511"/>
      <c r="G278" s="582"/>
      <c r="H278" s="511"/>
      <c r="I278" s="511"/>
      <c r="J278" s="582"/>
      <c r="K278" s="511"/>
      <c r="L278" s="511"/>
      <c r="M278" s="582"/>
      <c r="N278" s="582"/>
      <c r="O278" s="582"/>
      <c r="P278" s="582"/>
      <c r="Q278" s="511"/>
      <c r="R278" s="511"/>
      <c r="S278" s="511"/>
      <c r="T278" s="639"/>
      <c r="U278" s="511"/>
      <c r="V278" s="511"/>
      <c r="W278" s="511"/>
      <c r="X278" s="511"/>
      <c r="Y278" s="380"/>
      <c r="Z278" s="380"/>
      <c r="AA278" s="380"/>
      <c r="AB278" s="380"/>
      <c r="AC278" s="380"/>
      <c r="AD278" s="671"/>
      <c r="AE278" s="380"/>
      <c r="AF278" s="380"/>
      <c r="AG278" s="380"/>
      <c r="AH278" s="671"/>
      <c r="AI278" s="380"/>
      <c r="AJ278" s="583"/>
      <c r="AK278" s="583"/>
      <c r="AL278" s="511"/>
      <c r="AM278" s="584"/>
      <c r="AN278" s="584"/>
      <c r="AO278" s="584"/>
      <c r="AP278" s="671"/>
      <c r="AQ278" s="584"/>
      <c r="AR278" s="583"/>
      <c r="AS278" s="583"/>
      <c r="AT278" s="585"/>
      <c r="AU278" s="585"/>
      <c r="AV278" s="585"/>
      <c r="AW278" s="585"/>
      <c r="AX278" s="673"/>
      <c r="AY278" s="380"/>
      <c r="AZ278" s="380"/>
      <c r="BA278" s="380"/>
      <c r="BB278" s="380"/>
      <c r="BC278" s="380"/>
      <c r="BD278" s="380"/>
      <c r="BE278" s="380"/>
      <c r="BF278" s="380"/>
      <c r="BG278" s="380"/>
      <c r="BH278" s="380"/>
      <c r="BI278" s="511"/>
      <c r="BJ278" s="380"/>
      <c r="BK278" s="380"/>
      <c r="BL278" s="380"/>
      <c r="BM278" s="380"/>
      <c r="BN278" s="380"/>
      <c r="BO278" s="380"/>
      <c r="BP278" s="380"/>
      <c r="BQ278" s="380"/>
      <c r="BR278" s="380"/>
    </row>
    <row r="279" spans="1:70" ht="12.75" customHeight="1" x14ac:dyDescent="0.25">
      <c r="A279" s="380"/>
      <c r="B279" s="380"/>
      <c r="C279" s="380"/>
      <c r="D279" s="380"/>
      <c r="E279" s="511"/>
      <c r="F279" s="511"/>
      <c r="G279" s="582"/>
      <c r="H279" s="511"/>
      <c r="I279" s="511"/>
      <c r="J279" s="582"/>
      <c r="K279" s="511"/>
      <c r="L279" s="511"/>
      <c r="M279" s="582"/>
      <c r="N279" s="582"/>
      <c r="O279" s="582"/>
      <c r="P279" s="582"/>
      <c r="Q279" s="511"/>
      <c r="R279" s="511"/>
      <c r="S279" s="511"/>
      <c r="T279" s="639"/>
      <c r="U279" s="511"/>
      <c r="V279" s="511"/>
      <c r="W279" s="511"/>
      <c r="X279" s="511"/>
      <c r="Y279" s="380"/>
      <c r="Z279" s="380"/>
      <c r="AA279" s="380"/>
      <c r="AB279" s="380"/>
      <c r="AC279" s="380"/>
      <c r="AD279" s="671"/>
      <c r="AE279" s="380"/>
      <c r="AF279" s="380"/>
      <c r="AG279" s="380"/>
      <c r="AH279" s="671"/>
      <c r="AI279" s="380"/>
      <c r="AJ279" s="583"/>
      <c r="AK279" s="583"/>
      <c r="AL279" s="511"/>
      <c r="AM279" s="584"/>
      <c r="AN279" s="584"/>
      <c r="AO279" s="584"/>
      <c r="AP279" s="671"/>
      <c r="AQ279" s="584"/>
      <c r="AR279" s="583"/>
      <c r="AS279" s="583"/>
      <c r="AT279" s="585"/>
      <c r="AU279" s="585"/>
      <c r="AV279" s="585"/>
      <c r="AW279" s="585"/>
      <c r="AX279" s="673"/>
      <c r="AY279" s="380"/>
      <c r="AZ279" s="380"/>
      <c r="BA279" s="380"/>
      <c r="BB279" s="380"/>
      <c r="BC279" s="380"/>
      <c r="BD279" s="380"/>
      <c r="BE279" s="380"/>
      <c r="BF279" s="380"/>
      <c r="BG279" s="380"/>
      <c r="BH279" s="380"/>
      <c r="BI279" s="511"/>
      <c r="BJ279" s="380"/>
      <c r="BK279" s="380"/>
      <c r="BL279" s="380"/>
      <c r="BM279" s="380"/>
      <c r="BN279" s="380"/>
      <c r="BO279" s="380"/>
      <c r="BP279" s="380"/>
      <c r="BQ279" s="380"/>
      <c r="BR279" s="380"/>
    </row>
    <row r="280" spans="1:70" ht="12.75" customHeight="1" x14ac:dyDescent="0.25">
      <c r="A280" s="380"/>
      <c r="B280" s="380"/>
      <c r="C280" s="380"/>
      <c r="D280" s="380"/>
      <c r="E280" s="511"/>
      <c r="F280" s="511"/>
      <c r="G280" s="582"/>
      <c r="H280" s="511"/>
      <c r="I280" s="511"/>
      <c r="J280" s="582"/>
      <c r="K280" s="511"/>
      <c r="L280" s="511"/>
      <c r="M280" s="582"/>
      <c r="N280" s="582"/>
      <c r="O280" s="582"/>
      <c r="P280" s="582"/>
      <c r="Q280" s="511"/>
      <c r="R280" s="511"/>
      <c r="S280" s="511"/>
      <c r="T280" s="639"/>
      <c r="U280" s="511"/>
      <c r="V280" s="511"/>
      <c r="W280" s="511"/>
      <c r="X280" s="511"/>
      <c r="Y280" s="380"/>
      <c r="Z280" s="380"/>
      <c r="AA280" s="380"/>
      <c r="AB280" s="380"/>
      <c r="AC280" s="380"/>
      <c r="AD280" s="671"/>
      <c r="AE280" s="380"/>
      <c r="AF280" s="380"/>
      <c r="AG280" s="380"/>
      <c r="AH280" s="671"/>
      <c r="AI280" s="380"/>
      <c r="AJ280" s="583"/>
      <c r="AK280" s="583"/>
      <c r="AL280" s="511"/>
      <c r="AM280" s="584"/>
      <c r="AN280" s="584"/>
      <c r="AO280" s="584"/>
      <c r="AP280" s="671"/>
      <c r="AQ280" s="584"/>
      <c r="AR280" s="583"/>
      <c r="AS280" s="583"/>
      <c r="AT280" s="585"/>
      <c r="AU280" s="585"/>
      <c r="AV280" s="585"/>
      <c r="AW280" s="585"/>
      <c r="AX280" s="673"/>
      <c r="AY280" s="380"/>
      <c r="AZ280" s="380"/>
      <c r="BA280" s="380"/>
      <c r="BB280" s="380"/>
      <c r="BC280" s="380"/>
      <c r="BD280" s="380"/>
      <c r="BE280" s="380"/>
      <c r="BF280" s="380"/>
      <c r="BG280" s="380"/>
      <c r="BH280" s="380"/>
      <c r="BI280" s="511"/>
      <c r="BJ280" s="380"/>
      <c r="BK280" s="380"/>
      <c r="BL280" s="380"/>
      <c r="BM280" s="380"/>
      <c r="BN280" s="380"/>
      <c r="BO280" s="380"/>
      <c r="BP280" s="380"/>
      <c r="BQ280" s="380"/>
      <c r="BR280" s="380"/>
    </row>
    <row r="281" spans="1:70" ht="12.75" customHeight="1" x14ac:dyDescent="0.25">
      <c r="A281" s="380"/>
      <c r="B281" s="380"/>
      <c r="C281" s="380"/>
      <c r="D281" s="380"/>
      <c r="E281" s="511"/>
      <c r="F281" s="511"/>
      <c r="G281" s="582"/>
      <c r="H281" s="511"/>
      <c r="I281" s="511"/>
      <c r="J281" s="582"/>
      <c r="K281" s="511"/>
      <c r="L281" s="511"/>
      <c r="M281" s="582"/>
      <c r="N281" s="582"/>
      <c r="O281" s="582"/>
      <c r="P281" s="582"/>
      <c r="Q281" s="511"/>
      <c r="R281" s="511"/>
      <c r="S281" s="511"/>
      <c r="T281" s="639"/>
      <c r="U281" s="511"/>
      <c r="V281" s="511"/>
      <c r="W281" s="511"/>
      <c r="X281" s="511"/>
      <c r="Y281" s="380"/>
      <c r="Z281" s="380"/>
      <c r="AA281" s="380"/>
      <c r="AB281" s="380"/>
      <c r="AC281" s="380"/>
      <c r="AD281" s="671"/>
      <c r="AE281" s="380"/>
      <c r="AF281" s="380"/>
      <c r="AG281" s="380"/>
      <c r="AH281" s="671"/>
      <c r="AI281" s="380"/>
      <c r="AJ281" s="583"/>
      <c r="AK281" s="583"/>
      <c r="AL281" s="511"/>
      <c r="AM281" s="584"/>
      <c r="AN281" s="584"/>
      <c r="AO281" s="584"/>
      <c r="AP281" s="671"/>
      <c r="AQ281" s="584"/>
      <c r="AR281" s="583"/>
      <c r="AS281" s="583"/>
      <c r="AT281" s="585"/>
      <c r="AU281" s="585"/>
      <c r="AV281" s="585"/>
      <c r="AW281" s="585"/>
      <c r="AX281" s="673"/>
      <c r="AY281" s="380"/>
      <c r="AZ281" s="380"/>
      <c r="BA281" s="380"/>
      <c r="BB281" s="380"/>
      <c r="BC281" s="380"/>
      <c r="BD281" s="380"/>
      <c r="BE281" s="380"/>
      <c r="BF281" s="380"/>
      <c r="BG281" s="380"/>
      <c r="BH281" s="380"/>
      <c r="BI281" s="511"/>
      <c r="BJ281" s="380"/>
      <c r="BK281" s="380"/>
      <c r="BL281" s="380"/>
      <c r="BM281" s="380"/>
      <c r="BN281" s="380"/>
      <c r="BO281" s="380"/>
      <c r="BP281" s="380"/>
      <c r="BQ281" s="380"/>
      <c r="BR281" s="380"/>
    </row>
    <row r="282" spans="1:70" ht="12.75" customHeight="1" x14ac:dyDescent="0.25">
      <c r="A282" s="380"/>
      <c r="B282" s="380"/>
      <c r="C282" s="380"/>
      <c r="D282" s="380"/>
      <c r="E282" s="511"/>
      <c r="F282" s="511"/>
      <c r="G282" s="582"/>
      <c r="H282" s="511"/>
      <c r="I282" s="511"/>
      <c r="J282" s="582"/>
      <c r="K282" s="511"/>
      <c r="L282" s="511"/>
      <c r="M282" s="582"/>
      <c r="N282" s="582"/>
      <c r="O282" s="582"/>
      <c r="P282" s="582"/>
      <c r="Q282" s="511"/>
      <c r="R282" s="511"/>
      <c r="S282" s="511"/>
      <c r="T282" s="639"/>
      <c r="U282" s="511"/>
      <c r="V282" s="511"/>
      <c r="W282" s="511"/>
      <c r="X282" s="511"/>
      <c r="Y282" s="380"/>
      <c r="Z282" s="380"/>
      <c r="AA282" s="380"/>
      <c r="AB282" s="380"/>
      <c r="AC282" s="380"/>
      <c r="AD282" s="671"/>
      <c r="AE282" s="380"/>
      <c r="AF282" s="380"/>
      <c r="AG282" s="380"/>
      <c r="AH282" s="671"/>
      <c r="AI282" s="380"/>
      <c r="AJ282" s="583"/>
      <c r="AK282" s="583"/>
      <c r="AL282" s="511"/>
      <c r="AM282" s="584"/>
      <c r="AN282" s="584"/>
      <c r="AO282" s="584"/>
      <c r="AP282" s="671"/>
      <c r="AQ282" s="584"/>
      <c r="AR282" s="583"/>
      <c r="AS282" s="583"/>
      <c r="AT282" s="585"/>
      <c r="AU282" s="585"/>
      <c r="AV282" s="585"/>
      <c r="AW282" s="585"/>
      <c r="AX282" s="673"/>
      <c r="AY282" s="380"/>
      <c r="AZ282" s="380"/>
      <c r="BA282" s="380"/>
      <c r="BB282" s="380"/>
      <c r="BC282" s="380"/>
      <c r="BD282" s="380"/>
      <c r="BE282" s="380"/>
      <c r="BF282" s="380"/>
      <c r="BG282" s="380"/>
      <c r="BH282" s="380"/>
      <c r="BI282" s="511"/>
      <c r="BJ282" s="380"/>
      <c r="BK282" s="380"/>
      <c r="BL282" s="380"/>
      <c r="BM282" s="380"/>
      <c r="BN282" s="380"/>
      <c r="BO282" s="380"/>
      <c r="BP282" s="380"/>
      <c r="BQ282" s="380"/>
      <c r="BR282" s="380"/>
    </row>
    <row r="283" spans="1:70" ht="12.75" customHeight="1" x14ac:dyDescent="0.25">
      <c r="A283" s="380"/>
      <c r="B283" s="380"/>
      <c r="C283" s="380"/>
      <c r="D283" s="380"/>
      <c r="E283" s="511"/>
      <c r="F283" s="511"/>
      <c r="G283" s="582"/>
      <c r="H283" s="511"/>
      <c r="I283" s="511"/>
      <c r="J283" s="582"/>
      <c r="K283" s="511"/>
      <c r="L283" s="511"/>
      <c r="M283" s="582"/>
      <c r="N283" s="582"/>
      <c r="O283" s="582"/>
      <c r="P283" s="582"/>
      <c r="Q283" s="511"/>
      <c r="R283" s="511"/>
      <c r="S283" s="511"/>
      <c r="T283" s="639"/>
      <c r="U283" s="511"/>
      <c r="V283" s="511"/>
      <c r="W283" s="511"/>
      <c r="X283" s="511"/>
      <c r="Y283" s="380"/>
      <c r="Z283" s="380"/>
      <c r="AA283" s="380"/>
      <c r="AB283" s="380"/>
      <c r="AC283" s="380"/>
      <c r="AD283" s="671"/>
      <c r="AE283" s="380"/>
      <c r="AF283" s="380"/>
      <c r="AG283" s="380"/>
      <c r="AH283" s="671"/>
      <c r="AI283" s="380"/>
      <c r="AJ283" s="583"/>
      <c r="AK283" s="583"/>
      <c r="AL283" s="511"/>
      <c r="AM283" s="584"/>
      <c r="AN283" s="584"/>
      <c r="AO283" s="584"/>
      <c r="AP283" s="671"/>
      <c r="AQ283" s="584"/>
      <c r="AR283" s="583"/>
      <c r="AS283" s="583"/>
      <c r="AT283" s="585"/>
      <c r="AU283" s="585"/>
      <c r="AV283" s="585"/>
      <c r="AW283" s="585"/>
      <c r="AX283" s="673"/>
      <c r="AY283" s="380"/>
      <c r="AZ283" s="380"/>
      <c r="BA283" s="380"/>
      <c r="BB283" s="380"/>
      <c r="BC283" s="380"/>
      <c r="BD283" s="380"/>
      <c r="BE283" s="380"/>
      <c r="BF283" s="380"/>
      <c r="BG283" s="380"/>
      <c r="BH283" s="380"/>
      <c r="BI283" s="511"/>
      <c r="BJ283" s="380"/>
      <c r="BK283" s="380"/>
      <c r="BL283" s="380"/>
      <c r="BM283" s="380"/>
      <c r="BN283" s="380"/>
      <c r="BO283" s="380"/>
      <c r="BP283" s="380"/>
      <c r="BQ283" s="380"/>
      <c r="BR283" s="380"/>
    </row>
    <row r="284" spans="1:70" ht="12.75" customHeight="1" x14ac:dyDescent="0.25">
      <c r="A284" s="380"/>
      <c r="B284" s="380"/>
      <c r="C284" s="380"/>
      <c r="D284" s="380"/>
      <c r="E284" s="511"/>
      <c r="F284" s="511"/>
      <c r="G284" s="582"/>
      <c r="H284" s="511"/>
      <c r="I284" s="511"/>
      <c r="J284" s="582"/>
      <c r="K284" s="511"/>
      <c r="L284" s="511"/>
      <c r="M284" s="582"/>
      <c r="N284" s="582"/>
      <c r="O284" s="582"/>
      <c r="P284" s="582"/>
      <c r="Q284" s="511"/>
      <c r="R284" s="511"/>
      <c r="S284" s="511"/>
      <c r="T284" s="639"/>
      <c r="U284" s="511"/>
      <c r="V284" s="511"/>
      <c r="W284" s="511"/>
      <c r="X284" s="511"/>
      <c r="Y284" s="380"/>
      <c r="Z284" s="380"/>
      <c r="AA284" s="380"/>
      <c r="AB284" s="380"/>
      <c r="AC284" s="380"/>
      <c r="AD284" s="671"/>
      <c r="AE284" s="380"/>
      <c r="AF284" s="380"/>
      <c r="AG284" s="380"/>
      <c r="AH284" s="671"/>
      <c r="AI284" s="380"/>
      <c r="AJ284" s="583"/>
      <c r="AK284" s="583"/>
      <c r="AL284" s="511"/>
      <c r="AM284" s="584"/>
      <c r="AN284" s="584"/>
      <c r="AO284" s="584"/>
      <c r="AP284" s="671"/>
      <c r="AQ284" s="584"/>
      <c r="AR284" s="583"/>
      <c r="AS284" s="583"/>
      <c r="AT284" s="585"/>
      <c r="AU284" s="585"/>
      <c r="AV284" s="585"/>
      <c r="AW284" s="585"/>
      <c r="AX284" s="673"/>
      <c r="AY284" s="380"/>
      <c r="AZ284" s="380"/>
      <c r="BA284" s="380"/>
      <c r="BB284" s="380"/>
      <c r="BC284" s="380"/>
      <c r="BD284" s="380"/>
      <c r="BE284" s="380"/>
      <c r="BF284" s="380"/>
      <c r="BG284" s="380"/>
      <c r="BH284" s="380"/>
      <c r="BI284" s="511"/>
      <c r="BJ284" s="380"/>
      <c r="BK284" s="380"/>
      <c r="BL284" s="380"/>
      <c r="BM284" s="380"/>
      <c r="BN284" s="380"/>
      <c r="BO284" s="380"/>
      <c r="BP284" s="380"/>
      <c r="BQ284" s="380"/>
      <c r="BR284" s="380"/>
    </row>
    <row r="285" spans="1:70" ht="12.75" customHeight="1" x14ac:dyDescent="0.25">
      <c r="A285" s="380"/>
      <c r="B285" s="380"/>
      <c r="C285" s="380"/>
      <c r="D285" s="380"/>
      <c r="E285" s="511"/>
      <c r="F285" s="511"/>
      <c r="G285" s="582"/>
      <c r="H285" s="511"/>
      <c r="I285" s="511"/>
      <c r="J285" s="582"/>
      <c r="K285" s="511"/>
      <c r="L285" s="511"/>
      <c r="M285" s="582"/>
      <c r="N285" s="582"/>
      <c r="O285" s="582"/>
      <c r="P285" s="582"/>
      <c r="Q285" s="511"/>
      <c r="R285" s="511"/>
      <c r="S285" s="511"/>
      <c r="T285" s="639"/>
      <c r="U285" s="511"/>
      <c r="V285" s="511"/>
      <c r="W285" s="511"/>
      <c r="X285" s="511"/>
      <c r="Y285" s="380"/>
      <c r="Z285" s="380"/>
      <c r="AA285" s="380"/>
      <c r="AB285" s="380"/>
      <c r="AC285" s="380"/>
      <c r="AD285" s="671"/>
      <c r="AE285" s="380"/>
      <c r="AF285" s="380"/>
      <c r="AG285" s="380"/>
      <c r="AH285" s="671"/>
      <c r="AI285" s="380"/>
      <c r="AJ285" s="583"/>
      <c r="AK285" s="583"/>
      <c r="AL285" s="511"/>
      <c r="AM285" s="584"/>
      <c r="AN285" s="584"/>
      <c r="AO285" s="584"/>
      <c r="AP285" s="671"/>
      <c r="AQ285" s="584"/>
      <c r="AR285" s="583"/>
      <c r="AS285" s="583"/>
      <c r="AT285" s="585"/>
      <c r="AU285" s="585"/>
      <c r="AV285" s="585"/>
      <c r="AW285" s="585"/>
      <c r="AX285" s="673"/>
      <c r="AY285" s="380"/>
      <c r="AZ285" s="380"/>
      <c r="BA285" s="380"/>
      <c r="BB285" s="380"/>
      <c r="BC285" s="380"/>
      <c r="BD285" s="380"/>
      <c r="BE285" s="380"/>
      <c r="BF285" s="380"/>
      <c r="BG285" s="380"/>
      <c r="BH285" s="380"/>
      <c r="BI285" s="511"/>
      <c r="BJ285" s="380"/>
      <c r="BK285" s="380"/>
      <c r="BL285" s="380"/>
      <c r="BM285" s="380"/>
      <c r="BN285" s="380"/>
      <c r="BO285" s="380"/>
      <c r="BP285" s="380"/>
      <c r="BQ285" s="380"/>
      <c r="BR285" s="380"/>
    </row>
    <row r="286" spans="1:70" ht="12.75" customHeight="1" x14ac:dyDescent="0.25">
      <c r="A286" s="380"/>
      <c r="B286" s="380"/>
      <c r="C286" s="380"/>
      <c r="D286" s="380"/>
      <c r="E286" s="511"/>
      <c r="F286" s="511"/>
      <c r="G286" s="582"/>
      <c r="H286" s="511"/>
      <c r="I286" s="511"/>
      <c r="J286" s="582"/>
      <c r="K286" s="511"/>
      <c r="L286" s="511"/>
      <c r="M286" s="582"/>
      <c r="N286" s="582"/>
      <c r="O286" s="582"/>
      <c r="P286" s="582"/>
      <c r="Q286" s="511"/>
      <c r="R286" s="511"/>
      <c r="S286" s="511"/>
      <c r="T286" s="639"/>
      <c r="U286" s="511"/>
      <c r="V286" s="511"/>
      <c r="W286" s="511"/>
      <c r="X286" s="511"/>
      <c r="Y286" s="380"/>
      <c r="Z286" s="380"/>
      <c r="AA286" s="380"/>
      <c r="AB286" s="380"/>
      <c r="AC286" s="380"/>
      <c r="AD286" s="671"/>
      <c r="AE286" s="380"/>
      <c r="AF286" s="380"/>
      <c r="AG286" s="380"/>
      <c r="AH286" s="671"/>
      <c r="AI286" s="380"/>
      <c r="AJ286" s="583"/>
      <c r="AK286" s="583"/>
      <c r="AL286" s="511"/>
      <c r="AM286" s="584"/>
      <c r="AN286" s="584"/>
      <c r="AO286" s="584"/>
      <c r="AP286" s="671"/>
      <c r="AQ286" s="584"/>
      <c r="AR286" s="583"/>
      <c r="AS286" s="583"/>
      <c r="AT286" s="585"/>
      <c r="AU286" s="585"/>
      <c r="AV286" s="585"/>
      <c r="AW286" s="585"/>
      <c r="AX286" s="673"/>
      <c r="AY286" s="380"/>
      <c r="AZ286" s="380"/>
      <c r="BA286" s="380"/>
      <c r="BB286" s="380"/>
      <c r="BC286" s="380"/>
      <c r="BD286" s="380"/>
      <c r="BE286" s="380"/>
      <c r="BF286" s="380"/>
      <c r="BG286" s="380"/>
      <c r="BH286" s="380"/>
      <c r="BI286" s="511"/>
      <c r="BJ286" s="380"/>
      <c r="BK286" s="380"/>
      <c r="BL286" s="380"/>
      <c r="BM286" s="380"/>
      <c r="BN286" s="380"/>
      <c r="BO286" s="380"/>
      <c r="BP286" s="380"/>
      <c r="BQ286" s="380"/>
      <c r="BR286" s="380"/>
    </row>
    <row r="287" spans="1:70" ht="12.75" customHeight="1" x14ac:dyDescent="0.25">
      <c r="A287" s="380"/>
      <c r="B287" s="380"/>
      <c r="C287" s="380"/>
      <c r="D287" s="380"/>
      <c r="E287" s="511"/>
      <c r="F287" s="511"/>
      <c r="G287" s="582"/>
      <c r="H287" s="511"/>
      <c r="I287" s="511"/>
      <c r="J287" s="582"/>
      <c r="K287" s="511"/>
      <c r="L287" s="511"/>
      <c r="M287" s="582"/>
      <c r="N287" s="582"/>
      <c r="O287" s="582"/>
      <c r="P287" s="582"/>
      <c r="Q287" s="511"/>
      <c r="R287" s="511"/>
      <c r="S287" s="511"/>
      <c r="T287" s="639"/>
      <c r="U287" s="511"/>
      <c r="V287" s="511"/>
      <c r="W287" s="511"/>
      <c r="X287" s="511"/>
      <c r="Y287" s="380"/>
      <c r="Z287" s="380"/>
      <c r="AA287" s="380"/>
      <c r="AB287" s="380"/>
      <c r="AC287" s="380"/>
      <c r="AD287" s="671"/>
      <c r="AE287" s="380"/>
      <c r="AF287" s="380"/>
      <c r="AG287" s="380"/>
      <c r="AH287" s="671"/>
      <c r="AI287" s="380"/>
      <c r="AJ287" s="583"/>
      <c r="AK287" s="583"/>
      <c r="AL287" s="511"/>
      <c r="AM287" s="584"/>
      <c r="AN287" s="584"/>
      <c r="AO287" s="584"/>
      <c r="AP287" s="671"/>
      <c r="AQ287" s="584"/>
      <c r="AR287" s="583"/>
      <c r="AS287" s="583"/>
      <c r="AT287" s="585"/>
      <c r="AU287" s="585"/>
      <c r="AV287" s="585"/>
      <c r="AW287" s="585"/>
      <c r="AX287" s="673"/>
      <c r="AY287" s="380"/>
      <c r="AZ287" s="380"/>
      <c r="BA287" s="380"/>
      <c r="BB287" s="380"/>
      <c r="BC287" s="380"/>
      <c r="BD287" s="380"/>
      <c r="BE287" s="380"/>
      <c r="BF287" s="380"/>
      <c r="BG287" s="380"/>
      <c r="BH287" s="380"/>
      <c r="BI287" s="511"/>
      <c r="BJ287" s="380"/>
      <c r="BK287" s="380"/>
      <c r="BL287" s="380"/>
      <c r="BM287" s="380"/>
      <c r="BN287" s="380"/>
      <c r="BO287" s="380"/>
      <c r="BP287" s="380"/>
      <c r="BQ287" s="380"/>
      <c r="BR287" s="380"/>
    </row>
    <row r="288" spans="1:70" ht="12.75" customHeight="1" x14ac:dyDescent="0.25">
      <c r="A288" s="380"/>
      <c r="B288" s="380"/>
      <c r="C288" s="380"/>
      <c r="D288" s="380"/>
      <c r="E288" s="511"/>
      <c r="F288" s="511"/>
      <c r="G288" s="582"/>
      <c r="H288" s="511"/>
      <c r="I288" s="511"/>
      <c r="J288" s="582"/>
      <c r="K288" s="511"/>
      <c r="L288" s="511"/>
      <c r="M288" s="582"/>
      <c r="N288" s="582"/>
      <c r="O288" s="582"/>
      <c r="P288" s="582"/>
      <c r="Q288" s="511"/>
      <c r="R288" s="511"/>
      <c r="S288" s="511"/>
      <c r="T288" s="639"/>
      <c r="U288" s="511"/>
      <c r="V288" s="511"/>
      <c r="W288" s="511"/>
      <c r="X288" s="511"/>
      <c r="Y288" s="380"/>
      <c r="Z288" s="380"/>
      <c r="AA288" s="380"/>
      <c r="AB288" s="380"/>
      <c r="AC288" s="380"/>
      <c r="AD288" s="671"/>
      <c r="AE288" s="380"/>
      <c r="AF288" s="380"/>
      <c r="AG288" s="380"/>
      <c r="AH288" s="671"/>
      <c r="AI288" s="380"/>
      <c r="AJ288" s="583"/>
      <c r="AK288" s="583"/>
      <c r="AL288" s="511"/>
      <c r="AM288" s="584"/>
      <c r="AN288" s="584"/>
      <c r="AO288" s="584"/>
      <c r="AP288" s="671"/>
      <c r="AQ288" s="584"/>
      <c r="AR288" s="583"/>
      <c r="AS288" s="583"/>
      <c r="AT288" s="585"/>
      <c r="AU288" s="585"/>
      <c r="AV288" s="585"/>
      <c r="AW288" s="585"/>
      <c r="AX288" s="673"/>
      <c r="AY288" s="380"/>
      <c r="AZ288" s="380"/>
      <c r="BA288" s="380"/>
      <c r="BB288" s="380"/>
      <c r="BC288" s="380"/>
      <c r="BD288" s="380"/>
      <c r="BE288" s="380"/>
      <c r="BF288" s="380"/>
      <c r="BG288" s="380"/>
      <c r="BH288" s="380"/>
      <c r="BI288" s="511"/>
      <c r="BJ288" s="380"/>
      <c r="BK288" s="380"/>
      <c r="BL288" s="380"/>
      <c r="BM288" s="380"/>
      <c r="BN288" s="380"/>
      <c r="BO288" s="380"/>
      <c r="BP288" s="380"/>
      <c r="BQ288" s="380"/>
      <c r="BR288" s="380"/>
    </row>
    <row r="289" spans="1:70" ht="12.75" customHeight="1" x14ac:dyDescent="0.25">
      <c r="A289" s="380"/>
      <c r="B289" s="380"/>
      <c r="C289" s="380"/>
      <c r="D289" s="380"/>
      <c r="E289" s="511"/>
      <c r="F289" s="511"/>
      <c r="G289" s="582"/>
      <c r="H289" s="511"/>
      <c r="I289" s="511"/>
      <c r="J289" s="582"/>
      <c r="K289" s="511"/>
      <c r="L289" s="511"/>
      <c r="M289" s="582"/>
      <c r="N289" s="582"/>
      <c r="O289" s="582"/>
      <c r="P289" s="582"/>
      <c r="Q289" s="511"/>
      <c r="R289" s="511"/>
      <c r="S289" s="511"/>
      <c r="T289" s="639"/>
      <c r="U289" s="511"/>
      <c r="V289" s="511"/>
      <c r="W289" s="511"/>
      <c r="X289" s="511"/>
      <c r="Y289" s="380"/>
      <c r="Z289" s="380"/>
      <c r="AA289" s="380"/>
      <c r="AB289" s="380"/>
      <c r="AC289" s="380"/>
      <c r="AD289" s="671"/>
      <c r="AE289" s="380"/>
      <c r="AF289" s="380"/>
      <c r="AG289" s="380"/>
      <c r="AH289" s="671"/>
      <c r="AI289" s="380"/>
      <c r="AJ289" s="583"/>
      <c r="AK289" s="583"/>
      <c r="AL289" s="511"/>
      <c r="AM289" s="584"/>
      <c r="AN289" s="584"/>
      <c r="AO289" s="584"/>
      <c r="AP289" s="671"/>
      <c r="AQ289" s="584"/>
      <c r="AR289" s="583"/>
      <c r="AS289" s="583"/>
      <c r="AT289" s="585"/>
      <c r="AU289" s="585"/>
      <c r="AV289" s="585"/>
      <c r="AW289" s="585"/>
      <c r="AX289" s="673"/>
      <c r="AY289" s="380"/>
      <c r="AZ289" s="380"/>
      <c r="BA289" s="380"/>
      <c r="BB289" s="380"/>
      <c r="BC289" s="380"/>
      <c r="BD289" s="380"/>
      <c r="BE289" s="380"/>
      <c r="BF289" s="380"/>
      <c r="BG289" s="380"/>
      <c r="BH289" s="380"/>
      <c r="BI289" s="511"/>
      <c r="BJ289" s="380"/>
      <c r="BK289" s="380"/>
      <c r="BL289" s="380"/>
      <c r="BM289" s="380"/>
      <c r="BN289" s="380"/>
      <c r="BO289" s="380"/>
      <c r="BP289" s="380"/>
      <c r="BQ289" s="380"/>
      <c r="BR289" s="380"/>
    </row>
    <row r="290" spans="1:70" ht="12.75" customHeight="1" x14ac:dyDescent="0.25">
      <c r="A290" s="380"/>
      <c r="B290" s="380"/>
      <c r="C290" s="380"/>
      <c r="D290" s="380"/>
      <c r="E290" s="511"/>
      <c r="F290" s="511"/>
      <c r="G290" s="582"/>
      <c r="H290" s="511"/>
      <c r="I290" s="511"/>
      <c r="J290" s="582"/>
      <c r="K290" s="511"/>
      <c r="L290" s="511"/>
      <c r="M290" s="582"/>
      <c r="N290" s="582"/>
      <c r="O290" s="582"/>
      <c r="P290" s="582"/>
      <c r="Q290" s="511"/>
      <c r="R290" s="511"/>
      <c r="S290" s="511"/>
      <c r="T290" s="639"/>
      <c r="U290" s="511"/>
      <c r="V290" s="511"/>
      <c r="W290" s="511"/>
      <c r="X290" s="511"/>
      <c r="Y290" s="380"/>
      <c r="Z290" s="380"/>
      <c r="AA290" s="380"/>
      <c r="AB290" s="380"/>
      <c r="AC290" s="380"/>
      <c r="AD290" s="671"/>
      <c r="AE290" s="380"/>
      <c r="AF290" s="380"/>
      <c r="AG290" s="380"/>
      <c r="AH290" s="671"/>
      <c r="AI290" s="380"/>
      <c r="AJ290" s="583"/>
      <c r="AK290" s="583"/>
      <c r="AL290" s="511"/>
      <c r="AM290" s="584"/>
      <c r="AN290" s="584"/>
      <c r="AO290" s="584"/>
      <c r="AP290" s="671"/>
      <c r="AQ290" s="584"/>
      <c r="AR290" s="583"/>
      <c r="AS290" s="583"/>
      <c r="AT290" s="585"/>
      <c r="AU290" s="585"/>
      <c r="AV290" s="585"/>
      <c r="AW290" s="585"/>
      <c r="AX290" s="673"/>
      <c r="AY290" s="380"/>
      <c r="AZ290" s="380"/>
      <c r="BA290" s="380"/>
      <c r="BB290" s="380"/>
      <c r="BC290" s="380"/>
      <c r="BD290" s="380"/>
      <c r="BE290" s="380"/>
      <c r="BF290" s="380"/>
      <c r="BG290" s="380"/>
      <c r="BH290" s="380"/>
      <c r="BI290" s="511"/>
      <c r="BJ290" s="380"/>
      <c r="BK290" s="380"/>
      <c r="BL290" s="380"/>
      <c r="BM290" s="380"/>
      <c r="BN290" s="380"/>
      <c r="BO290" s="380"/>
      <c r="BP290" s="380"/>
      <c r="BQ290" s="380"/>
      <c r="BR290" s="380"/>
    </row>
    <row r="291" spans="1:70" ht="12.75" customHeight="1" x14ac:dyDescent="0.25">
      <c r="A291" s="380"/>
      <c r="B291" s="380"/>
      <c r="C291" s="380"/>
      <c r="D291" s="380"/>
      <c r="E291" s="511"/>
      <c r="F291" s="511"/>
      <c r="G291" s="582"/>
      <c r="H291" s="511"/>
      <c r="I291" s="511"/>
      <c r="J291" s="582"/>
      <c r="K291" s="511"/>
      <c r="L291" s="511"/>
      <c r="M291" s="582"/>
      <c r="N291" s="582"/>
      <c r="O291" s="582"/>
      <c r="P291" s="582"/>
      <c r="Q291" s="511"/>
      <c r="R291" s="511"/>
      <c r="S291" s="511"/>
      <c r="T291" s="639"/>
      <c r="U291" s="511"/>
      <c r="V291" s="511"/>
      <c r="W291" s="511"/>
      <c r="X291" s="511"/>
      <c r="Y291" s="380"/>
      <c r="Z291" s="380"/>
      <c r="AA291" s="380"/>
      <c r="AB291" s="380"/>
      <c r="AC291" s="380"/>
      <c r="AD291" s="671"/>
      <c r="AE291" s="380"/>
      <c r="AF291" s="380"/>
      <c r="AG291" s="380"/>
      <c r="AH291" s="671"/>
      <c r="AI291" s="380"/>
      <c r="AJ291" s="583"/>
      <c r="AK291" s="583"/>
      <c r="AL291" s="511"/>
      <c r="AM291" s="584"/>
      <c r="AN291" s="584"/>
      <c r="AO291" s="584"/>
      <c r="AP291" s="671"/>
      <c r="AQ291" s="584"/>
      <c r="AR291" s="583"/>
      <c r="AS291" s="583"/>
      <c r="AT291" s="585"/>
      <c r="AU291" s="585"/>
      <c r="AV291" s="585"/>
      <c r="AW291" s="585"/>
      <c r="AX291" s="673"/>
      <c r="AY291" s="380"/>
      <c r="AZ291" s="380"/>
      <c r="BA291" s="380"/>
      <c r="BB291" s="380"/>
      <c r="BC291" s="380"/>
      <c r="BD291" s="380"/>
      <c r="BE291" s="380"/>
      <c r="BF291" s="380"/>
      <c r="BG291" s="380"/>
      <c r="BH291" s="380"/>
      <c r="BI291" s="511"/>
      <c r="BJ291" s="380"/>
      <c r="BK291" s="380"/>
      <c r="BL291" s="380"/>
      <c r="BM291" s="380"/>
      <c r="BN291" s="380"/>
      <c r="BO291" s="380"/>
      <c r="BP291" s="380"/>
      <c r="BQ291" s="380"/>
      <c r="BR291" s="380"/>
    </row>
    <row r="292" spans="1:70" ht="12.75" customHeight="1" x14ac:dyDescent="0.25">
      <c r="A292" s="380"/>
      <c r="B292" s="380"/>
      <c r="C292" s="380"/>
      <c r="D292" s="380"/>
      <c r="E292" s="511"/>
      <c r="F292" s="511"/>
      <c r="G292" s="582"/>
      <c r="H292" s="511"/>
      <c r="I292" s="511"/>
      <c r="J292" s="582"/>
      <c r="K292" s="511"/>
      <c r="L292" s="511"/>
      <c r="M292" s="582"/>
      <c r="N292" s="582"/>
      <c r="O292" s="582"/>
      <c r="P292" s="582"/>
      <c r="Q292" s="511"/>
      <c r="R292" s="511"/>
      <c r="S292" s="511"/>
      <c r="T292" s="639"/>
      <c r="U292" s="511"/>
      <c r="V292" s="511"/>
      <c r="W292" s="511"/>
      <c r="X292" s="511"/>
      <c r="Y292" s="380"/>
      <c r="Z292" s="380"/>
      <c r="AA292" s="380"/>
      <c r="AB292" s="380"/>
      <c r="AC292" s="380"/>
      <c r="AD292" s="671"/>
      <c r="AE292" s="380"/>
      <c r="AF292" s="380"/>
      <c r="AG292" s="380"/>
      <c r="AH292" s="671"/>
      <c r="AI292" s="380"/>
      <c r="AJ292" s="583"/>
      <c r="AK292" s="583"/>
      <c r="AL292" s="511"/>
      <c r="AM292" s="584"/>
      <c r="AN292" s="584"/>
      <c r="AO292" s="584"/>
      <c r="AP292" s="671"/>
      <c r="AQ292" s="584"/>
      <c r="AR292" s="583"/>
      <c r="AS292" s="583"/>
      <c r="AT292" s="585"/>
      <c r="AU292" s="585"/>
      <c r="AV292" s="585"/>
      <c r="AW292" s="585"/>
      <c r="AX292" s="673"/>
      <c r="AY292" s="380"/>
      <c r="AZ292" s="380"/>
      <c r="BA292" s="380"/>
      <c r="BB292" s="380"/>
      <c r="BC292" s="380"/>
      <c r="BD292" s="380"/>
      <c r="BE292" s="380"/>
      <c r="BF292" s="380"/>
      <c r="BG292" s="380"/>
      <c r="BH292" s="380"/>
      <c r="BI292" s="511"/>
      <c r="BJ292" s="380"/>
      <c r="BK292" s="380"/>
      <c r="BL292" s="380"/>
      <c r="BM292" s="380"/>
      <c r="BN292" s="380"/>
      <c r="BO292" s="380"/>
      <c r="BP292" s="380"/>
      <c r="BQ292" s="380"/>
      <c r="BR292" s="380"/>
    </row>
    <row r="293" spans="1:70" ht="12.75" customHeight="1" x14ac:dyDescent="0.25">
      <c r="A293" s="380"/>
      <c r="B293" s="380"/>
      <c r="C293" s="380"/>
      <c r="D293" s="380"/>
      <c r="E293" s="511"/>
      <c r="F293" s="511"/>
      <c r="G293" s="582"/>
      <c r="H293" s="511"/>
      <c r="I293" s="511"/>
      <c r="J293" s="582"/>
      <c r="K293" s="511"/>
      <c r="L293" s="511"/>
      <c r="M293" s="582"/>
      <c r="N293" s="582"/>
      <c r="O293" s="582"/>
      <c r="P293" s="582"/>
      <c r="Q293" s="511"/>
      <c r="R293" s="511"/>
      <c r="S293" s="511"/>
      <c r="T293" s="639"/>
      <c r="U293" s="511"/>
      <c r="V293" s="511"/>
      <c r="W293" s="511"/>
      <c r="X293" s="511"/>
      <c r="Y293" s="380"/>
      <c r="Z293" s="380"/>
      <c r="AA293" s="380"/>
      <c r="AB293" s="380"/>
      <c r="AC293" s="380"/>
      <c r="AD293" s="671"/>
      <c r="AE293" s="380"/>
      <c r="AF293" s="380"/>
      <c r="AG293" s="380"/>
      <c r="AH293" s="671"/>
      <c r="AI293" s="380"/>
      <c r="AJ293" s="583"/>
      <c r="AK293" s="583"/>
      <c r="AL293" s="511"/>
      <c r="AM293" s="584"/>
      <c r="AN293" s="584"/>
      <c r="AO293" s="584"/>
      <c r="AP293" s="671"/>
      <c r="AQ293" s="584"/>
      <c r="AR293" s="583"/>
      <c r="AS293" s="583"/>
      <c r="AT293" s="585"/>
      <c r="AU293" s="585"/>
      <c r="AV293" s="585"/>
      <c r="AW293" s="585"/>
      <c r="AX293" s="673"/>
      <c r="AY293" s="380"/>
      <c r="AZ293" s="380"/>
      <c r="BA293" s="380"/>
      <c r="BB293" s="380"/>
      <c r="BC293" s="380"/>
      <c r="BD293" s="380"/>
      <c r="BE293" s="380"/>
      <c r="BF293" s="380"/>
      <c r="BG293" s="380"/>
      <c r="BH293" s="380"/>
      <c r="BI293" s="511"/>
      <c r="BJ293" s="380"/>
      <c r="BK293" s="380"/>
      <c r="BL293" s="380"/>
      <c r="BM293" s="380"/>
      <c r="BN293" s="380"/>
      <c r="BO293" s="380"/>
      <c r="BP293" s="380"/>
      <c r="BQ293" s="380"/>
      <c r="BR293" s="380"/>
    </row>
    <row r="294" spans="1:70" ht="12.75" customHeight="1" x14ac:dyDescent="0.25">
      <c r="A294" s="380"/>
      <c r="B294" s="380"/>
      <c r="C294" s="380"/>
      <c r="D294" s="380"/>
      <c r="E294" s="511"/>
      <c r="F294" s="511"/>
      <c r="G294" s="582"/>
      <c r="H294" s="511"/>
      <c r="I294" s="511"/>
      <c r="J294" s="582"/>
      <c r="K294" s="511"/>
      <c r="L294" s="511"/>
      <c r="M294" s="582"/>
      <c r="N294" s="582"/>
      <c r="O294" s="582"/>
      <c r="P294" s="582"/>
      <c r="Q294" s="511"/>
      <c r="R294" s="511"/>
      <c r="S294" s="511"/>
      <c r="T294" s="639"/>
      <c r="U294" s="511"/>
      <c r="V294" s="511"/>
      <c r="W294" s="511"/>
      <c r="X294" s="511"/>
      <c r="Y294" s="380"/>
      <c r="Z294" s="380"/>
      <c r="AA294" s="380"/>
      <c r="AB294" s="380"/>
      <c r="AC294" s="380"/>
      <c r="AD294" s="671"/>
      <c r="AE294" s="380"/>
      <c r="AF294" s="380"/>
      <c r="AG294" s="380"/>
      <c r="AH294" s="671"/>
      <c r="AI294" s="380"/>
      <c r="AJ294" s="583"/>
      <c r="AK294" s="583"/>
      <c r="AL294" s="511"/>
      <c r="AM294" s="584"/>
      <c r="AN294" s="584"/>
      <c r="AO294" s="584"/>
      <c r="AP294" s="671"/>
      <c r="AQ294" s="584"/>
      <c r="AR294" s="583"/>
      <c r="AS294" s="583"/>
      <c r="AT294" s="585"/>
      <c r="AU294" s="585"/>
      <c r="AV294" s="585"/>
      <c r="AW294" s="585"/>
      <c r="AX294" s="673"/>
      <c r="AY294" s="380"/>
      <c r="AZ294" s="380"/>
      <c r="BA294" s="380"/>
      <c r="BB294" s="380"/>
      <c r="BC294" s="380"/>
      <c r="BD294" s="380"/>
      <c r="BE294" s="380"/>
      <c r="BF294" s="380"/>
      <c r="BG294" s="380"/>
      <c r="BH294" s="380"/>
      <c r="BI294" s="511"/>
      <c r="BJ294" s="380"/>
      <c r="BK294" s="380"/>
      <c r="BL294" s="380"/>
      <c r="BM294" s="380"/>
      <c r="BN294" s="380"/>
      <c r="BO294" s="380"/>
      <c r="BP294" s="380"/>
      <c r="BQ294" s="380"/>
      <c r="BR294" s="380"/>
    </row>
    <row r="295" spans="1:70" ht="12.75" customHeight="1" x14ac:dyDescent="0.25">
      <c r="A295" s="380"/>
      <c r="B295" s="380"/>
      <c r="C295" s="380"/>
      <c r="D295" s="380"/>
      <c r="E295" s="511"/>
      <c r="F295" s="511"/>
      <c r="G295" s="582"/>
      <c r="H295" s="511"/>
      <c r="I295" s="511"/>
      <c r="J295" s="582"/>
      <c r="K295" s="511"/>
      <c r="L295" s="511"/>
      <c r="M295" s="582"/>
      <c r="N295" s="582"/>
      <c r="O295" s="582"/>
      <c r="P295" s="582"/>
      <c r="Q295" s="511"/>
      <c r="R295" s="511"/>
      <c r="S295" s="511"/>
      <c r="T295" s="639"/>
      <c r="U295" s="511"/>
      <c r="V295" s="511"/>
      <c r="W295" s="511"/>
      <c r="X295" s="511"/>
      <c r="Y295" s="380"/>
      <c r="Z295" s="380"/>
      <c r="AA295" s="380"/>
      <c r="AB295" s="380"/>
      <c r="AC295" s="380"/>
      <c r="AD295" s="671"/>
      <c r="AE295" s="380"/>
      <c r="AF295" s="380"/>
      <c r="AG295" s="380"/>
      <c r="AH295" s="671"/>
      <c r="AI295" s="380"/>
      <c r="AJ295" s="583"/>
      <c r="AK295" s="583"/>
      <c r="AL295" s="511"/>
      <c r="AM295" s="584"/>
      <c r="AN295" s="584"/>
      <c r="AO295" s="584"/>
      <c r="AP295" s="671"/>
      <c r="AQ295" s="584"/>
      <c r="AR295" s="583"/>
      <c r="AS295" s="583"/>
      <c r="AT295" s="585"/>
      <c r="AU295" s="585"/>
      <c r="AV295" s="585"/>
      <c r="AW295" s="585"/>
      <c r="AX295" s="673"/>
      <c r="AY295" s="380"/>
      <c r="AZ295" s="380"/>
      <c r="BA295" s="380"/>
      <c r="BB295" s="380"/>
      <c r="BC295" s="380"/>
      <c r="BD295" s="380"/>
      <c r="BE295" s="380"/>
      <c r="BF295" s="380"/>
      <c r="BG295" s="380"/>
      <c r="BH295" s="380"/>
      <c r="BI295" s="511"/>
      <c r="BJ295" s="380"/>
      <c r="BK295" s="380"/>
      <c r="BL295" s="380"/>
      <c r="BM295" s="380"/>
      <c r="BN295" s="380"/>
      <c r="BO295" s="380"/>
      <c r="BP295" s="380"/>
      <c r="BQ295" s="380"/>
      <c r="BR295" s="380"/>
    </row>
    <row r="296" spans="1:70" ht="12.75" customHeight="1" x14ac:dyDescent="0.25">
      <c r="A296" s="380"/>
      <c r="B296" s="380"/>
      <c r="C296" s="380"/>
      <c r="D296" s="380"/>
      <c r="E296" s="511"/>
      <c r="F296" s="511"/>
      <c r="G296" s="582"/>
      <c r="H296" s="511"/>
      <c r="I296" s="511"/>
      <c r="J296" s="582"/>
      <c r="K296" s="511"/>
      <c r="L296" s="511"/>
      <c r="M296" s="582"/>
      <c r="N296" s="582"/>
      <c r="O296" s="582"/>
      <c r="P296" s="582"/>
      <c r="Q296" s="511"/>
      <c r="R296" s="511"/>
      <c r="S296" s="511"/>
      <c r="T296" s="639"/>
      <c r="U296" s="511"/>
      <c r="V296" s="511"/>
      <c r="W296" s="511"/>
      <c r="X296" s="511"/>
      <c r="Y296" s="380"/>
      <c r="Z296" s="380"/>
      <c r="AA296" s="380"/>
      <c r="AB296" s="380"/>
      <c r="AC296" s="380"/>
      <c r="AD296" s="671"/>
      <c r="AE296" s="380"/>
      <c r="AF296" s="380"/>
      <c r="AG296" s="380"/>
      <c r="AH296" s="671"/>
      <c r="AI296" s="380"/>
      <c r="AJ296" s="583"/>
      <c r="AK296" s="583"/>
      <c r="AL296" s="511"/>
      <c r="AM296" s="584"/>
      <c r="AN296" s="584"/>
      <c r="AO296" s="584"/>
      <c r="AP296" s="671"/>
      <c r="AQ296" s="584"/>
      <c r="AR296" s="583"/>
      <c r="AS296" s="583"/>
      <c r="AT296" s="585"/>
      <c r="AU296" s="585"/>
      <c r="AV296" s="585"/>
      <c r="AW296" s="585"/>
      <c r="AX296" s="673"/>
      <c r="AY296" s="380"/>
      <c r="AZ296" s="380"/>
      <c r="BA296" s="380"/>
      <c r="BB296" s="380"/>
      <c r="BC296" s="380"/>
      <c r="BD296" s="380"/>
      <c r="BE296" s="380"/>
      <c r="BF296" s="380"/>
      <c r="BG296" s="380"/>
      <c r="BH296" s="380"/>
      <c r="BI296" s="511"/>
      <c r="BJ296" s="380"/>
      <c r="BK296" s="380"/>
      <c r="BL296" s="380"/>
      <c r="BM296" s="380"/>
      <c r="BN296" s="380"/>
      <c r="BO296" s="380"/>
      <c r="BP296" s="380"/>
      <c r="BQ296" s="380"/>
      <c r="BR296" s="380"/>
    </row>
    <row r="297" spans="1:70" ht="12.75" customHeight="1" x14ac:dyDescent="0.25">
      <c r="A297" s="380"/>
      <c r="B297" s="380"/>
      <c r="C297" s="380"/>
      <c r="D297" s="380"/>
      <c r="E297" s="511"/>
      <c r="F297" s="511"/>
      <c r="G297" s="582"/>
      <c r="H297" s="511"/>
      <c r="I297" s="511"/>
      <c r="J297" s="582"/>
      <c r="K297" s="511"/>
      <c r="L297" s="511"/>
      <c r="M297" s="582"/>
      <c r="N297" s="582"/>
      <c r="O297" s="582"/>
      <c r="P297" s="582"/>
      <c r="Q297" s="511"/>
      <c r="R297" s="511"/>
      <c r="S297" s="511"/>
      <c r="T297" s="639"/>
      <c r="U297" s="511"/>
      <c r="V297" s="511"/>
      <c r="W297" s="511"/>
      <c r="X297" s="511"/>
      <c r="Y297" s="380"/>
      <c r="Z297" s="380"/>
      <c r="AA297" s="380"/>
      <c r="AB297" s="380"/>
      <c r="AC297" s="380"/>
      <c r="AD297" s="671"/>
      <c r="AE297" s="380"/>
      <c r="AF297" s="380"/>
      <c r="AG297" s="380"/>
      <c r="AH297" s="671"/>
      <c r="AI297" s="380"/>
      <c r="AJ297" s="583"/>
      <c r="AK297" s="583"/>
      <c r="AL297" s="511"/>
      <c r="AM297" s="584"/>
      <c r="AN297" s="584"/>
      <c r="AO297" s="584"/>
      <c r="AP297" s="671"/>
      <c r="AQ297" s="584"/>
      <c r="AR297" s="583"/>
      <c r="AS297" s="583"/>
      <c r="AT297" s="585"/>
      <c r="AU297" s="585"/>
      <c r="AV297" s="585"/>
      <c r="AW297" s="585"/>
      <c r="AX297" s="673"/>
      <c r="AY297" s="380"/>
      <c r="AZ297" s="380"/>
      <c r="BA297" s="380"/>
      <c r="BB297" s="380"/>
      <c r="BC297" s="380"/>
      <c r="BD297" s="380"/>
      <c r="BE297" s="380"/>
      <c r="BF297" s="380"/>
      <c r="BG297" s="380"/>
      <c r="BH297" s="380"/>
      <c r="BI297" s="511"/>
      <c r="BJ297" s="380"/>
      <c r="BK297" s="380"/>
      <c r="BL297" s="380"/>
      <c r="BM297" s="380"/>
      <c r="BN297" s="380"/>
      <c r="BO297" s="380"/>
      <c r="BP297" s="380"/>
      <c r="BQ297" s="380"/>
      <c r="BR297" s="380"/>
    </row>
    <row r="298" spans="1:70" ht="12.75" customHeight="1" x14ac:dyDescent="0.25">
      <c r="A298" s="380"/>
      <c r="B298" s="380"/>
      <c r="C298" s="380"/>
      <c r="D298" s="380"/>
      <c r="E298" s="511"/>
      <c r="F298" s="511"/>
      <c r="G298" s="582"/>
      <c r="H298" s="511"/>
      <c r="I298" s="511"/>
      <c r="J298" s="582"/>
      <c r="K298" s="511"/>
      <c r="L298" s="511"/>
      <c r="M298" s="582"/>
      <c r="N298" s="582"/>
      <c r="O298" s="582"/>
      <c r="P298" s="582"/>
      <c r="Q298" s="511"/>
      <c r="R298" s="511"/>
      <c r="S298" s="511"/>
      <c r="T298" s="639"/>
      <c r="U298" s="511"/>
      <c r="V298" s="511"/>
      <c r="W298" s="511"/>
      <c r="X298" s="511"/>
      <c r="Y298" s="380"/>
      <c r="Z298" s="380"/>
      <c r="AA298" s="380"/>
      <c r="AB298" s="380"/>
      <c r="AC298" s="380"/>
      <c r="AD298" s="671"/>
      <c r="AE298" s="380"/>
      <c r="AF298" s="380"/>
      <c r="AG298" s="380"/>
      <c r="AH298" s="671"/>
      <c r="AI298" s="380"/>
      <c r="AJ298" s="583"/>
      <c r="AK298" s="583"/>
      <c r="AL298" s="511"/>
      <c r="AM298" s="584"/>
      <c r="AN298" s="584"/>
      <c r="AO298" s="584"/>
      <c r="AP298" s="671"/>
      <c r="AQ298" s="584"/>
      <c r="AR298" s="583"/>
      <c r="AS298" s="583"/>
      <c r="AT298" s="585"/>
      <c r="AU298" s="585"/>
      <c r="AV298" s="585"/>
      <c r="AW298" s="585"/>
      <c r="AX298" s="673"/>
      <c r="AY298" s="380"/>
      <c r="AZ298" s="380"/>
      <c r="BA298" s="380"/>
      <c r="BB298" s="380"/>
      <c r="BC298" s="380"/>
      <c r="BD298" s="380"/>
      <c r="BE298" s="380"/>
      <c r="BF298" s="380"/>
      <c r="BG298" s="380"/>
      <c r="BH298" s="380"/>
      <c r="BI298" s="511"/>
      <c r="BJ298" s="380"/>
      <c r="BK298" s="380"/>
      <c r="BL298" s="380"/>
      <c r="BM298" s="380"/>
      <c r="BN298" s="380"/>
      <c r="BO298" s="380"/>
      <c r="BP298" s="380"/>
      <c r="BQ298" s="380"/>
      <c r="BR298" s="380"/>
    </row>
    <row r="299" spans="1:70" ht="12.75" customHeight="1" x14ac:dyDescent="0.25">
      <c r="A299" s="380"/>
      <c r="B299" s="380"/>
      <c r="C299" s="380"/>
      <c r="D299" s="380"/>
      <c r="E299" s="511"/>
      <c r="F299" s="511"/>
      <c r="G299" s="582"/>
      <c r="H299" s="511"/>
      <c r="I299" s="511"/>
      <c r="J299" s="582"/>
      <c r="K299" s="511"/>
      <c r="L299" s="511"/>
      <c r="M299" s="582"/>
      <c r="N299" s="582"/>
      <c r="O299" s="582"/>
      <c r="P299" s="582"/>
      <c r="Q299" s="511"/>
      <c r="R299" s="511"/>
      <c r="S299" s="511"/>
      <c r="T299" s="639"/>
      <c r="U299" s="511"/>
      <c r="V299" s="511"/>
      <c r="W299" s="511"/>
      <c r="X299" s="511"/>
      <c r="Y299" s="380"/>
      <c r="Z299" s="380"/>
      <c r="AA299" s="380"/>
      <c r="AB299" s="380"/>
      <c r="AC299" s="380"/>
      <c r="AD299" s="671"/>
      <c r="AE299" s="380"/>
      <c r="AF299" s="380"/>
      <c r="AG299" s="380"/>
      <c r="AH299" s="671"/>
      <c r="AI299" s="380"/>
      <c r="AJ299" s="583"/>
      <c r="AK299" s="583"/>
      <c r="AL299" s="511"/>
      <c r="AM299" s="584"/>
      <c r="AN299" s="584"/>
      <c r="AO299" s="584"/>
      <c r="AP299" s="671"/>
      <c r="AQ299" s="584"/>
      <c r="AR299" s="583"/>
      <c r="AS299" s="583"/>
      <c r="AT299" s="585"/>
      <c r="AU299" s="585"/>
      <c r="AV299" s="585"/>
      <c r="AW299" s="585"/>
      <c r="AX299" s="673"/>
      <c r="AY299" s="380"/>
      <c r="AZ299" s="380"/>
      <c r="BA299" s="380"/>
      <c r="BB299" s="380"/>
      <c r="BC299" s="380"/>
      <c r="BD299" s="380"/>
      <c r="BE299" s="380"/>
      <c r="BF299" s="380"/>
      <c r="BG299" s="380"/>
      <c r="BH299" s="380"/>
      <c r="BI299" s="511"/>
      <c r="BJ299" s="380"/>
      <c r="BK299" s="380"/>
      <c r="BL299" s="380"/>
      <c r="BM299" s="380"/>
      <c r="BN299" s="380"/>
      <c r="BO299" s="380"/>
      <c r="BP299" s="380"/>
      <c r="BQ299" s="380"/>
      <c r="BR299" s="380"/>
    </row>
    <row r="300" spans="1:70" ht="12.75" customHeight="1" x14ac:dyDescent="0.25">
      <c r="A300" s="380"/>
      <c r="B300" s="380"/>
      <c r="C300" s="380"/>
      <c r="D300" s="380"/>
      <c r="E300" s="511"/>
      <c r="F300" s="511"/>
      <c r="G300" s="582"/>
      <c r="H300" s="511"/>
      <c r="I300" s="511"/>
      <c r="J300" s="582"/>
      <c r="K300" s="511"/>
      <c r="L300" s="511"/>
      <c r="M300" s="582"/>
      <c r="N300" s="582"/>
      <c r="O300" s="582"/>
      <c r="P300" s="582"/>
      <c r="Q300" s="511"/>
      <c r="R300" s="511"/>
      <c r="S300" s="511"/>
      <c r="T300" s="639"/>
      <c r="U300" s="511"/>
      <c r="V300" s="511"/>
      <c r="W300" s="511"/>
      <c r="X300" s="511"/>
      <c r="Y300" s="380"/>
      <c r="Z300" s="380"/>
      <c r="AA300" s="380"/>
      <c r="AB300" s="380"/>
      <c r="AC300" s="380"/>
      <c r="AD300" s="671"/>
      <c r="AE300" s="380"/>
      <c r="AF300" s="380"/>
      <c r="AG300" s="380"/>
      <c r="AH300" s="671"/>
      <c r="AI300" s="380"/>
      <c r="AJ300" s="583"/>
      <c r="AK300" s="583"/>
      <c r="AL300" s="511"/>
      <c r="AM300" s="584"/>
      <c r="AN300" s="584"/>
      <c r="AO300" s="584"/>
      <c r="AP300" s="671"/>
      <c r="AQ300" s="584"/>
      <c r="AR300" s="583"/>
      <c r="AS300" s="583"/>
      <c r="AT300" s="585"/>
      <c r="AU300" s="585"/>
      <c r="AV300" s="585"/>
      <c r="AW300" s="585"/>
      <c r="AX300" s="673"/>
      <c r="AY300" s="380"/>
      <c r="AZ300" s="380"/>
      <c r="BA300" s="380"/>
      <c r="BB300" s="380"/>
      <c r="BC300" s="380"/>
      <c r="BD300" s="380"/>
      <c r="BE300" s="380"/>
      <c r="BF300" s="380"/>
      <c r="BG300" s="380"/>
      <c r="BH300" s="380"/>
      <c r="BI300" s="511"/>
      <c r="BJ300" s="380"/>
      <c r="BK300" s="380"/>
      <c r="BL300" s="380"/>
      <c r="BM300" s="380"/>
      <c r="BN300" s="380"/>
      <c r="BO300" s="380"/>
      <c r="BP300" s="380"/>
      <c r="BQ300" s="380"/>
      <c r="BR300" s="380"/>
    </row>
    <row r="301" spans="1:70" ht="12.75" customHeight="1" x14ac:dyDescent="0.25">
      <c r="A301" s="380"/>
      <c r="B301" s="380"/>
      <c r="C301" s="380"/>
      <c r="D301" s="380"/>
      <c r="E301" s="511"/>
      <c r="F301" s="511"/>
      <c r="G301" s="582"/>
      <c r="H301" s="511"/>
      <c r="I301" s="511"/>
      <c r="J301" s="582"/>
      <c r="K301" s="511"/>
      <c r="L301" s="511"/>
      <c r="M301" s="582"/>
      <c r="N301" s="582"/>
      <c r="O301" s="582"/>
      <c r="P301" s="582"/>
      <c r="Q301" s="511"/>
      <c r="R301" s="511"/>
      <c r="S301" s="511"/>
      <c r="T301" s="639"/>
      <c r="U301" s="511"/>
      <c r="V301" s="511"/>
      <c r="W301" s="511"/>
      <c r="X301" s="511"/>
      <c r="Y301" s="380"/>
      <c r="Z301" s="380"/>
      <c r="AA301" s="380"/>
      <c r="AB301" s="380"/>
      <c r="AC301" s="380"/>
      <c r="AD301" s="671"/>
      <c r="AE301" s="380"/>
      <c r="AF301" s="380"/>
      <c r="AG301" s="380"/>
      <c r="AH301" s="671"/>
      <c r="AI301" s="380"/>
      <c r="AJ301" s="583"/>
      <c r="AK301" s="583"/>
      <c r="AL301" s="511"/>
      <c r="AM301" s="584"/>
      <c r="AN301" s="584"/>
      <c r="AO301" s="584"/>
      <c r="AP301" s="671"/>
      <c r="AQ301" s="584"/>
      <c r="AR301" s="583"/>
      <c r="AS301" s="583"/>
      <c r="AT301" s="585"/>
      <c r="AU301" s="585"/>
      <c r="AV301" s="585"/>
      <c r="AW301" s="585"/>
      <c r="AX301" s="673"/>
      <c r="AY301" s="380"/>
      <c r="AZ301" s="380"/>
      <c r="BA301" s="380"/>
      <c r="BB301" s="380"/>
      <c r="BC301" s="380"/>
      <c r="BD301" s="380"/>
      <c r="BE301" s="380"/>
      <c r="BF301" s="380"/>
      <c r="BG301" s="380"/>
      <c r="BH301" s="380"/>
      <c r="BI301" s="511"/>
      <c r="BJ301" s="380"/>
      <c r="BK301" s="380"/>
      <c r="BL301" s="380"/>
      <c r="BM301" s="380"/>
      <c r="BN301" s="380"/>
      <c r="BO301" s="380"/>
      <c r="BP301" s="380"/>
      <c r="BQ301" s="380"/>
      <c r="BR301" s="380"/>
    </row>
    <row r="302" spans="1:70" ht="12.75" customHeight="1" x14ac:dyDescent="0.25">
      <c r="A302" s="380"/>
      <c r="B302" s="380"/>
      <c r="C302" s="380"/>
      <c r="D302" s="380"/>
      <c r="E302" s="511"/>
      <c r="F302" s="511"/>
      <c r="G302" s="582"/>
      <c r="H302" s="511"/>
      <c r="I302" s="511"/>
      <c r="J302" s="582"/>
      <c r="K302" s="511"/>
      <c r="L302" s="511"/>
      <c r="M302" s="582"/>
      <c r="N302" s="582"/>
      <c r="O302" s="582"/>
      <c r="P302" s="582"/>
      <c r="Q302" s="511"/>
      <c r="R302" s="511"/>
      <c r="S302" s="511"/>
      <c r="T302" s="639"/>
      <c r="U302" s="511"/>
      <c r="V302" s="511"/>
      <c r="W302" s="511"/>
      <c r="X302" s="511"/>
      <c r="Y302" s="380"/>
      <c r="Z302" s="380"/>
      <c r="AA302" s="380"/>
      <c r="AB302" s="380"/>
      <c r="AC302" s="380"/>
      <c r="AD302" s="671"/>
      <c r="AE302" s="380"/>
      <c r="AF302" s="380"/>
      <c r="AG302" s="380"/>
      <c r="AH302" s="671"/>
      <c r="AI302" s="380"/>
      <c r="AJ302" s="583"/>
      <c r="AK302" s="583"/>
      <c r="AL302" s="511"/>
      <c r="AM302" s="584"/>
      <c r="AN302" s="584"/>
      <c r="AO302" s="584"/>
      <c r="AP302" s="671"/>
      <c r="AQ302" s="584"/>
      <c r="AR302" s="583"/>
      <c r="AS302" s="583"/>
      <c r="AT302" s="585"/>
      <c r="AU302" s="585"/>
      <c r="AV302" s="585"/>
      <c r="AW302" s="585"/>
      <c r="AX302" s="673"/>
      <c r="AY302" s="380"/>
      <c r="AZ302" s="380"/>
      <c r="BA302" s="380"/>
      <c r="BB302" s="380"/>
      <c r="BC302" s="380"/>
      <c r="BD302" s="380"/>
      <c r="BE302" s="380"/>
      <c r="BF302" s="380"/>
      <c r="BG302" s="380"/>
      <c r="BH302" s="380"/>
      <c r="BI302" s="511"/>
      <c r="BJ302" s="380"/>
      <c r="BK302" s="380"/>
      <c r="BL302" s="380"/>
      <c r="BM302" s="380"/>
      <c r="BN302" s="380"/>
      <c r="BO302" s="380"/>
      <c r="BP302" s="380"/>
      <c r="BQ302" s="380"/>
      <c r="BR302" s="380"/>
    </row>
    <row r="303" spans="1:70" ht="12.75" customHeight="1" x14ac:dyDescent="0.25">
      <c r="A303" s="380"/>
      <c r="B303" s="380"/>
      <c r="C303" s="380"/>
      <c r="D303" s="380"/>
      <c r="E303" s="511"/>
      <c r="F303" s="511"/>
      <c r="G303" s="582"/>
      <c r="H303" s="511"/>
      <c r="I303" s="511"/>
      <c r="J303" s="582"/>
      <c r="K303" s="511"/>
      <c r="L303" s="511"/>
      <c r="M303" s="582"/>
      <c r="N303" s="582"/>
      <c r="O303" s="582"/>
      <c r="P303" s="582"/>
      <c r="Q303" s="511"/>
      <c r="R303" s="511"/>
      <c r="S303" s="511"/>
      <c r="T303" s="639"/>
      <c r="U303" s="511"/>
      <c r="V303" s="511"/>
      <c r="W303" s="511"/>
      <c r="X303" s="511"/>
      <c r="Y303" s="380"/>
      <c r="Z303" s="380"/>
      <c r="AA303" s="380"/>
      <c r="AB303" s="380"/>
      <c r="AC303" s="380"/>
      <c r="AD303" s="671"/>
      <c r="AE303" s="380"/>
      <c r="AF303" s="380"/>
      <c r="AG303" s="380"/>
      <c r="AH303" s="671"/>
      <c r="AI303" s="380"/>
      <c r="AJ303" s="583"/>
      <c r="AK303" s="583"/>
      <c r="AL303" s="511"/>
      <c r="AM303" s="584"/>
      <c r="AN303" s="584"/>
      <c r="AO303" s="584"/>
      <c r="AP303" s="671"/>
      <c r="AQ303" s="584"/>
      <c r="AR303" s="583"/>
      <c r="AS303" s="583"/>
      <c r="AT303" s="585"/>
      <c r="AU303" s="585"/>
      <c r="AV303" s="585"/>
      <c r="AW303" s="585"/>
      <c r="AX303" s="673"/>
      <c r="AY303" s="380"/>
      <c r="AZ303" s="380"/>
      <c r="BA303" s="380"/>
      <c r="BB303" s="380"/>
      <c r="BC303" s="380"/>
      <c r="BD303" s="380"/>
      <c r="BE303" s="380"/>
      <c r="BF303" s="380"/>
      <c r="BG303" s="380"/>
      <c r="BH303" s="380"/>
      <c r="BI303" s="511"/>
      <c r="BJ303" s="380"/>
      <c r="BK303" s="380"/>
      <c r="BL303" s="380"/>
      <c r="BM303" s="380"/>
      <c r="BN303" s="380"/>
      <c r="BO303" s="380"/>
      <c r="BP303" s="380"/>
      <c r="BQ303" s="380"/>
      <c r="BR303" s="380"/>
    </row>
    <row r="304" spans="1:70" ht="12.75" customHeight="1" x14ac:dyDescent="0.25">
      <c r="A304" s="380"/>
      <c r="B304" s="380"/>
      <c r="C304" s="380"/>
      <c r="D304" s="380"/>
      <c r="E304" s="511"/>
      <c r="F304" s="511"/>
      <c r="G304" s="582"/>
      <c r="H304" s="511"/>
      <c r="I304" s="511"/>
      <c r="J304" s="582"/>
      <c r="K304" s="511"/>
      <c r="L304" s="511"/>
      <c r="M304" s="582"/>
      <c r="N304" s="582"/>
      <c r="O304" s="582"/>
      <c r="P304" s="582"/>
      <c r="Q304" s="511"/>
      <c r="R304" s="511"/>
      <c r="S304" s="511"/>
      <c r="T304" s="639"/>
      <c r="U304" s="511"/>
      <c r="V304" s="511"/>
      <c r="W304" s="511"/>
      <c r="X304" s="511"/>
      <c r="Y304" s="380"/>
      <c r="Z304" s="380"/>
      <c r="AA304" s="380"/>
      <c r="AB304" s="380"/>
      <c r="AC304" s="380"/>
      <c r="AD304" s="671"/>
      <c r="AE304" s="380"/>
      <c r="AF304" s="380"/>
      <c r="AG304" s="380"/>
      <c r="AH304" s="671"/>
      <c r="AI304" s="380"/>
      <c r="AJ304" s="583"/>
      <c r="AK304" s="583"/>
      <c r="AL304" s="511"/>
      <c r="AM304" s="584"/>
      <c r="AN304" s="584"/>
      <c r="AO304" s="584"/>
      <c r="AP304" s="671"/>
      <c r="AQ304" s="584"/>
      <c r="AR304" s="583"/>
      <c r="AS304" s="583"/>
      <c r="AT304" s="585"/>
      <c r="AU304" s="585"/>
      <c r="AV304" s="585"/>
      <c r="AW304" s="585"/>
      <c r="AX304" s="673"/>
      <c r="AY304" s="380"/>
      <c r="AZ304" s="380"/>
      <c r="BA304" s="380"/>
      <c r="BB304" s="380"/>
      <c r="BC304" s="380"/>
      <c r="BD304" s="380"/>
      <c r="BE304" s="380"/>
      <c r="BF304" s="380"/>
      <c r="BG304" s="380"/>
      <c r="BH304" s="380"/>
      <c r="BI304" s="511"/>
      <c r="BJ304" s="380"/>
      <c r="BK304" s="380"/>
      <c r="BL304" s="380"/>
      <c r="BM304" s="380"/>
      <c r="BN304" s="380"/>
      <c r="BO304" s="380"/>
      <c r="BP304" s="380"/>
      <c r="BQ304" s="380"/>
      <c r="BR304" s="380"/>
    </row>
    <row r="305" spans="1:70" ht="12.75" customHeight="1" x14ac:dyDescent="0.25">
      <c r="A305" s="380"/>
      <c r="B305" s="380"/>
      <c r="C305" s="380"/>
      <c r="D305" s="380"/>
      <c r="E305" s="511"/>
      <c r="F305" s="511"/>
      <c r="G305" s="582"/>
      <c r="H305" s="511"/>
      <c r="I305" s="511"/>
      <c r="J305" s="582"/>
      <c r="K305" s="511"/>
      <c r="L305" s="511"/>
      <c r="M305" s="582"/>
      <c r="N305" s="582"/>
      <c r="O305" s="582"/>
      <c r="P305" s="582"/>
      <c r="Q305" s="511"/>
      <c r="R305" s="511"/>
      <c r="S305" s="511"/>
      <c r="T305" s="639"/>
      <c r="U305" s="511"/>
      <c r="V305" s="511"/>
      <c r="W305" s="511"/>
      <c r="X305" s="511"/>
      <c r="Y305" s="380"/>
      <c r="Z305" s="380"/>
      <c r="AA305" s="380"/>
      <c r="AB305" s="380"/>
      <c r="AC305" s="380"/>
      <c r="AD305" s="671"/>
      <c r="AE305" s="380"/>
      <c r="AF305" s="380"/>
      <c r="AG305" s="380"/>
      <c r="AH305" s="671"/>
      <c r="AI305" s="380"/>
      <c r="AJ305" s="583"/>
      <c r="AK305" s="583"/>
      <c r="AL305" s="511"/>
      <c r="AM305" s="584"/>
      <c r="AN305" s="584"/>
      <c r="AO305" s="584"/>
      <c r="AP305" s="671"/>
      <c r="AQ305" s="584"/>
      <c r="AR305" s="583"/>
      <c r="AS305" s="583"/>
      <c r="AT305" s="585"/>
      <c r="AU305" s="585"/>
      <c r="AV305" s="585"/>
      <c r="AW305" s="585"/>
      <c r="AX305" s="673"/>
      <c r="AY305" s="380"/>
      <c r="AZ305" s="380"/>
      <c r="BA305" s="380"/>
      <c r="BB305" s="380"/>
      <c r="BC305" s="380"/>
      <c r="BD305" s="380"/>
      <c r="BE305" s="380"/>
      <c r="BF305" s="380"/>
      <c r="BG305" s="380"/>
      <c r="BH305" s="380"/>
      <c r="BI305" s="511"/>
      <c r="BJ305" s="380"/>
      <c r="BK305" s="380"/>
      <c r="BL305" s="380"/>
      <c r="BM305" s="380"/>
      <c r="BN305" s="380"/>
      <c r="BO305" s="380"/>
      <c r="BP305" s="380"/>
      <c r="BQ305" s="380"/>
      <c r="BR305" s="380"/>
    </row>
    <row r="306" spans="1:70" ht="12.75" customHeight="1" x14ac:dyDescent="0.25">
      <c r="A306" s="380"/>
      <c r="B306" s="380"/>
      <c r="C306" s="380"/>
      <c r="D306" s="380"/>
      <c r="E306" s="511"/>
      <c r="F306" s="511"/>
      <c r="G306" s="582"/>
      <c r="H306" s="511"/>
      <c r="I306" s="511"/>
      <c r="J306" s="582"/>
      <c r="K306" s="511"/>
      <c r="L306" s="511"/>
      <c r="M306" s="582"/>
      <c r="N306" s="582"/>
      <c r="O306" s="582"/>
      <c r="P306" s="582"/>
      <c r="Q306" s="511"/>
      <c r="R306" s="511"/>
      <c r="S306" s="511"/>
      <c r="T306" s="639"/>
      <c r="U306" s="511"/>
      <c r="V306" s="511"/>
      <c r="W306" s="511"/>
      <c r="X306" s="511"/>
      <c r="Y306" s="380"/>
      <c r="Z306" s="380"/>
      <c r="AA306" s="380"/>
      <c r="AB306" s="380"/>
      <c r="AC306" s="380"/>
      <c r="AD306" s="671"/>
      <c r="AE306" s="380"/>
      <c r="AF306" s="380"/>
      <c r="AG306" s="380"/>
      <c r="AH306" s="671"/>
      <c r="AI306" s="380"/>
      <c r="AJ306" s="583"/>
      <c r="AK306" s="583"/>
      <c r="AL306" s="511"/>
      <c r="AM306" s="584"/>
      <c r="AN306" s="584"/>
      <c r="AO306" s="584"/>
      <c r="AP306" s="671"/>
      <c r="AQ306" s="584"/>
      <c r="AR306" s="583"/>
      <c r="AS306" s="583"/>
      <c r="AT306" s="585"/>
      <c r="AU306" s="585"/>
      <c r="AV306" s="585"/>
      <c r="AW306" s="585"/>
      <c r="AX306" s="673"/>
      <c r="AY306" s="380"/>
      <c r="AZ306" s="380"/>
      <c r="BA306" s="380"/>
      <c r="BB306" s="380"/>
      <c r="BC306" s="380"/>
      <c r="BD306" s="380"/>
      <c r="BE306" s="380"/>
      <c r="BF306" s="380"/>
      <c r="BG306" s="380"/>
      <c r="BH306" s="380"/>
      <c r="BI306" s="511"/>
      <c r="BJ306" s="380"/>
      <c r="BK306" s="380"/>
      <c r="BL306" s="380"/>
      <c r="BM306" s="380"/>
      <c r="BN306" s="380"/>
      <c r="BO306" s="380"/>
      <c r="BP306" s="380"/>
      <c r="BQ306" s="380"/>
      <c r="BR306" s="380"/>
    </row>
    <row r="307" spans="1:70" ht="12.75" customHeight="1" x14ac:dyDescent="0.25">
      <c r="A307" s="380"/>
      <c r="B307" s="380"/>
      <c r="C307" s="380"/>
      <c r="D307" s="380"/>
      <c r="E307" s="511"/>
      <c r="F307" s="511"/>
      <c r="G307" s="582"/>
      <c r="H307" s="511"/>
      <c r="I307" s="511"/>
      <c r="J307" s="582"/>
      <c r="K307" s="511"/>
      <c r="L307" s="511"/>
      <c r="M307" s="582"/>
      <c r="N307" s="582"/>
      <c r="O307" s="582"/>
      <c r="P307" s="582"/>
      <c r="Q307" s="511"/>
      <c r="R307" s="511"/>
      <c r="S307" s="511"/>
      <c r="T307" s="639"/>
      <c r="U307" s="511"/>
      <c r="V307" s="511"/>
      <c r="W307" s="511"/>
      <c r="X307" s="511"/>
      <c r="Y307" s="380"/>
      <c r="Z307" s="380"/>
      <c r="AA307" s="380"/>
      <c r="AB307" s="380"/>
      <c r="AC307" s="380"/>
      <c r="AD307" s="671"/>
      <c r="AE307" s="380"/>
      <c r="AF307" s="380"/>
      <c r="AG307" s="380"/>
      <c r="AH307" s="671"/>
      <c r="AI307" s="380"/>
      <c r="AJ307" s="583"/>
      <c r="AK307" s="583"/>
      <c r="AL307" s="511"/>
      <c r="AM307" s="584"/>
      <c r="AN307" s="584"/>
      <c r="AO307" s="584"/>
      <c r="AP307" s="671"/>
      <c r="AQ307" s="584"/>
      <c r="AR307" s="583"/>
      <c r="AS307" s="583"/>
      <c r="AT307" s="585"/>
      <c r="AU307" s="585"/>
      <c r="AV307" s="585"/>
      <c r="AW307" s="585"/>
      <c r="AX307" s="673"/>
      <c r="AY307" s="380"/>
      <c r="AZ307" s="380"/>
      <c r="BA307" s="380"/>
      <c r="BB307" s="380"/>
      <c r="BC307" s="380"/>
      <c r="BD307" s="380"/>
      <c r="BE307" s="380"/>
      <c r="BF307" s="380"/>
      <c r="BG307" s="380"/>
      <c r="BH307" s="380"/>
      <c r="BI307" s="511"/>
      <c r="BJ307" s="380"/>
      <c r="BK307" s="380"/>
      <c r="BL307" s="380"/>
      <c r="BM307" s="380"/>
      <c r="BN307" s="380"/>
      <c r="BO307" s="380"/>
      <c r="BP307" s="380"/>
      <c r="BQ307" s="380"/>
      <c r="BR307" s="380"/>
    </row>
    <row r="308" spans="1:70" ht="12.75" customHeight="1" x14ac:dyDescent="0.25">
      <c r="A308" s="380"/>
      <c r="B308" s="380"/>
      <c r="C308" s="380"/>
      <c r="D308" s="380"/>
      <c r="E308" s="511"/>
      <c r="F308" s="511"/>
      <c r="G308" s="582"/>
      <c r="H308" s="511"/>
      <c r="I308" s="511"/>
      <c r="J308" s="582"/>
      <c r="K308" s="511"/>
      <c r="L308" s="511"/>
      <c r="M308" s="582"/>
      <c r="N308" s="582"/>
      <c r="O308" s="582"/>
      <c r="P308" s="582"/>
      <c r="Q308" s="511"/>
      <c r="R308" s="511"/>
      <c r="S308" s="511"/>
      <c r="T308" s="639"/>
      <c r="U308" s="511"/>
      <c r="V308" s="511"/>
      <c r="W308" s="511"/>
      <c r="X308" s="511"/>
      <c r="Y308" s="380"/>
      <c r="Z308" s="380"/>
      <c r="AA308" s="380"/>
      <c r="AB308" s="380"/>
      <c r="AC308" s="380"/>
      <c r="AD308" s="671"/>
      <c r="AE308" s="380"/>
      <c r="AF308" s="380"/>
      <c r="AG308" s="380"/>
      <c r="AH308" s="671"/>
      <c r="AI308" s="380"/>
      <c r="AJ308" s="583"/>
      <c r="AK308" s="583"/>
      <c r="AL308" s="511"/>
      <c r="AM308" s="584"/>
      <c r="AN308" s="584"/>
      <c r="AO308" s="584"/>
      <c r="AP308" s="671"/>
      <c r="AQ308" s="584"/>
      <c r="AR308" s="583"/>
      <c r="AS308" s="583"/>
      <c r="AT308" s="585"/>
      <c r="AU308" s="585"/>
      <c r="AV308" s="585"/>
      <c r="AW308" s="585"/>
      <c r="AX308" s="673"/>
      <c r="AY308" s="380"/>
      <c r="AZ308" s="380"/>
      <c r="BA308" s="380"/>
      <c r="BB308" s="380"/>
      <c r="BC308" s="380"/>
      <c r="BD308" s="380"/>
      <c r="BE308" s="380"/>
      <c r="BF308" s="380"/>
      <c r="BG308" s="380"/>
      <c r="BH308" s="380"/>
      <c r="BI308" s="511"/>
      <c r="BJ308" s="380"/>
      <c r="BK308" s="380"/>
      <c r="BL308" s="380"/>
      <c r="BM308" s="380"/>
      <c r="BN308" s="380"/>
      <c r="BO308" s="380"/>
      <c r="BP308" s="380"/>
      <c r="BQ308" s="380"/>
      <c r="BR308" s="380"/>
    </row>
    <row r="309" spans="1:70" ht="12.75" customHeight="1" x14ac:dyDescent="0.25">
      <c r="A309" s="380"/>
      <c r="B309" s="380"/>
      <c r="C309" s="380"/>
      <c r="D309" s="380"/>
      <c r="E309" s="511"/>
      <c r="F309" s="511"/>
      <c r="G309" s="582"/>
      <c r="H309" s="511"/>
      <c r="I309" s="511"/>
      <c r="J309" s="582"/>
      <c r="K309" s="511"/>
      <c r="L309" s="511"/>
      <c r="M309" s="582"/>
      <c r="N309" s="582"/>
      <c r="O309" s="582"/>
      <c r="P309" s="582"/>
      <c r="Q309" s="511"/>
      <c r="R309" s="511"/>
      <c r="S309" s="511"/>
      <c r="T309" s="639"/>
      <c r="U309" s="511"/>
      <c r="V309" s="511"/>
      <c r="W309" s="511"/>
      <c r="X309" s="511"/>
      <c r="Y309" s="380"/>
      <c r="Z309" s="380"/>
      <c r="AA309" s="380"/>
      <c r="AB309" s="380"/>
      <c r="AC309" s="380"/>
      <c r="AD309" s="671"/>
      <c r="AE309" s="380"/>
      <c r="AF309" s="380"/>
      <c r="AG309" s="380"/>
      <c r="AH309" s="671"/>
      <c r="AI309" s="380"/>
      <c r="AJ309" s="583"/>
      <c r="AK309" s="583"/>
      <c r="AL309" s="511"/>
      <c r="AM309" s="584"/>
      <c r="AN309" s="584"/>
      <c r="AO309" s="584"/>
      <c r="AP309" s="671"/>
      <c r="AQ309" s="584"/>
      <c r="AR309" s="583"/>
      <c r="AS309" s="583"/>
      <c r="AT309" s="585"/>
      <c r="AU309" s="585"/>
      <c r="AV309" s="585"/>
      <c r="AW309" s="585"/>
      <c r="AX309" s="673"/>
      <c r="AY309" s="380"/>
      <c r="AZ309" s="380"/>
      <c r="BA309" s="380"/>
      <c r="BB309" s="380"/>
      <c r="BC309" s="380"/>
      <c r="BD309" s="380"/>
      <c r="BE309" s="380"/>
      <c r="BF309" s="380"/>
      <c r="BG309" s="380"/>
      <c r="BH309" s="380"/>
      <c r="BI309" s="511"/>
      <c r="BJ309" s="380"/>
      <c r="BK309" s="380"/>
      <c r="BL309" s="380"/>
      <c r="BM309" s="380"/>
      <c r="BN309" s="380"/>
      <c r="BO309" s="380"/>
      <c r="BP309" s="380"/>
      <c r="BQ309" s="380"/>
      <c r="BR309" s="380"/>
    </row>
    <row r="310" spans="1:70" ht="12.75" customHeight="1" x14ac:dyDescent="0.25">
      <c r="A310" s="380"/>
      <c r="B310" s="380"/>
      <c r="C310" s="380"/>
      <c r="D310" s="380"/>
      <c r="E310" s="511"/>
      <c r="F310" s="511"/>
      <c r="G310" s="582"/>
      <c r="H310" s="511"/>
      <c r="I310" s="511"/>
      <c r="J310" s="582"/>
      <c r="K310" s="511"/>
      <c r="L310" s="511"/>
      <c r="M310" s="582"/>
      <c r="N310" s="582"/>
      <c r="O310" s="582"/>
      <c r="P310" s="582"/>
      <c r="Q310" s="511"/>
      <c r="R310" s="511"/>
      <c r="S310" s="511"/>
      <c r="T310" s="639"/>
      <c r="U310" s="511"/>
      <c r="V310" s="511"/>
      <c r="W310" s="511"/>
      <c r="X310" s="511"/>
      <c r="Y310" s="380"/>
      <c r="Z310" s="380"/>
      <c r="AA310" s="380"/>
      <c r="AB310" s="380"/>
      <c r="AC310" s="380"/>
      <c r="AD310" s="671"/>
      <c r="AE310" s="380"/>
      <c r="AF310" s="380"/>
      <c r="AG310" s="380"/>
      <c r="AH310" s="671"/>
      <c r="AI310" s="380"/>
      <c r="AJ310" s="583"/>
      <c r="AK310" s="583"/>
      <c r="AL310" s="511"/>
      <c r="AM310" s="584"/>
      <c r="AN310" s="584"/>
      <c r="AO310" s="584"/>
      <c r="AP310" s="671"/>
      <c r="AQ310" s="584"/>
      <c r="AR310" s="583"/>
      <c r="AS310" s="583"/>
      <c r="AT310" s="585"/>
      <c r="AU310" s="585"/>
      <c r="AV310" s="585"/>
      <c r="AW310" s="585"/>
      <c r="AX310" s="673"/>
      <c r="AY310" s="380"/>
      <c r="AZ310" s="380"/>
      <c r="BA310" s="380"/>
      <c r="BB310" s="380"/>
      <c r="BC310" s="380"/>
      <c r="BD310" s="380"/>
      <c r="BE310" s="380"/>
      <c r="BF310" s="380"/>
      <c r="BG310" s="380"/>
      <c r="BH310" s="380"/>
      <c r="BI310" s="511"/>
      <c r="BJ310" s="380"/>
      <c r="BK310" s="380"/>
      <c r="BL310" s="380"/>
      <c r="BM310" s="380"/>
      <c r="BN310" s="380"/>
      <c r="BO310" s="380"/>
      <c r="BP310" s="380"/>
      <c r="BQ310" s="380"/>
      <c r="BR310" s="380"/>
    </row>
    <row r="311" spans="1:70" ht="12.75" customHeight="1" x14ac:dyDescent="0.25">
      <c r="A311" s="380"/>
      <c r="B311" s="380"/>
      <c r="C311" s="380"/>
      <c r="D311" s="380"/>
      <c r="E311" s="511"/>
      <c r="F311" s="511"/>
      <c r="G311" s="582"/>
      <c r="H311" s="511"/>
      <c r="I311" s="511"/>
      <c r="J311" s="582"/>
      <c r="K311" s="511"/>
      <c r="L311" s="511"/>
      <c r="M311" s="582"/>
      <c r="N311" s="582"/>
      <c r="O311" s="582"/>
      <c r="P311" s="582"/>
      <c r="Q311" s="511"/>
      <c r="R311" s="511"/>
      <c r="S311" s="511"/>
      <c r="T311" s="639"/>
      <c r="U311" s="511"/>
      <c r="V311" s="511"/>
      <c r="W311" s="511"/>
      <c r="X311" s="511"/>
      <c r="Y311" s="380"/>
      <c r="Z311" s="380"/>
      <c r="AA311" s="380"/>
      <c r="AB311" s="380"/>
      <c r="AC311" s="380"/>
      <c r="AD311" s="671"/>
      <c r="AE311" s="380"/>
      <c r="AF311" s="380"/>
      <c r="AG311" s="380"/>
      <c r="AH311" s="671"/>
      <c r="AI311" s="380"/>
      <c r="AJ311" s="583"/>
      <c r="AK311" s="583"/>
      <c r="AL311" s="511"/>
      <c r="AM311" s="584"/>
      <c r="AN311" s="584"/>
      <c r="AO311" s="584"/>
      <c r="AP311" s="671"/>
      <c r="AQ311" s="584"/>
      <c r="AR311" s="583"/>
      <c r="AS311" s="583"/>
      <c r="AT311" s="585"/>
      <c r="AU311" s="585"/>
      <c r="AV311" s="585"/>
      <c r="AW311" s="585"/>
      <c r="AX311" s="673"/>
      <c r="AY311" s="380"/>
      <c r="AZ311" s="380"/>
      <c r="BA311" s="380"/>
      <c r="BB311" s="380"/>
      <c r="BC311" s="380"/>
      <c r="BD311" s="380"/>
      <c r="BE311" s="380"/>
      <c r="BF311" s="380"/>
      <c r="BG311" s="380"/>
      <c r="BH311" s="380"/>
      <c r="BI311" s="511"/>
      <c r="BJ311" s="380"/>
      <c r="BK311" s="380"/>
      <c r="BL311" s="380"/>
      <c r="BM311" s="380"/>
      <c r="BN311" s="380"/>
      <c r="BO311" s="380"/>
      <c r="BP311" s="380"/>
      <c r="BQ311" s="380"/>
      <c r="BR311" s="380"/>
    </row>
    <row r="312" spans="1:70" ht="12.75" customHeight="1" x14ac:dyDescent="0.25">
      <c r="A312" s="380"/>
      <c r="B312" s="380"/>
      <c r="C312" s="380"/>
      <c r="D312" s="380"/>
      <c r="E312" s="511"/>
      <c r="F312" s="511"/>
      <c r="G312" s="582"/>
      <c r="H312" s="511"/>
      <c r="I312" s="511"/>
      <c r="J312" s="582"/>
      <c r="K312" s="511"/>
      <c r="L312" s="511"/>
      <c r="M312" s="582"/>
      <c r="N312" s="582"/>
      <c r="O312" s="582"/>
      <c r="P312" s="582"/>
      <c r="Q312" s="511"/>
      <c r="R312" s="511"/>
      <c r="S312" s="511"/>
      <c r="T312" s="639"/>
      <c r="U312" s="511"/>
      <c r="V312" s="511"/>
      <c r="W312" s="511"/>
      <c r="X312" s="511"/>
      <c r="Y312" s="380"/>
      <c r="Z312" s="380"/>
      <c r="AA312" s="380"/>
      <c r="AB312" s="380"/>
      <c r="AC312" s="380"/>
      <c r="AD312" s="671"/>
      <c r="AE312" s="380"/>
      <c r="AF312" s="380"/>
      <c r="AG312" s="380"/>
      <c r="AH312" s="671"/>
      <c r="AI312" s="380"/>
      <c r="AJ312" s="583"/>
      <c r="AK312" s="583"/>
      <c r="AL312" s="511"/>
      <c r="AM312" s="584"/>
      <c r="AN312" s="584"/>
      <c r="AO312" s="584"/>
      <c r="AP312" s="671"/>
      <c r="AQ312" s="584"/>
      <c r="AR312" s="583"/>
      <c r="AS312" s="583"/>
      <c r="AT312" s="585"/>
      <c r="AU312" s="585"/>
      <c r="AV312" s="585"/>
      <c r="AW312" s="585"/>
      <c r="AX312" s="673"/>
      <c r="AY312" s="380"/>
      <c r="AZ312" s="380"/>
      <c r="BA312" s="380"/>
      <c r="BB312" s="380"/>
      <c r="BC312" s="380"/>
      <c r="BD312" s="380"/>
      <c r="BE312" s="380"/>
      <c r="BF312" s="380"/>
      <c r="BG312" s="380"/>
      <c r="BH312" s="380"/>
      <c r="BI312" s="511"/>
      <c r="BJ312" s="380"/>
      <c r="BK312" s="380"/>
      <c r="BL312" s="380"/>
      <c r="BM312" s="380"/>
      <c r="BN312" s="380"/>
      <c r="BO312" s="380"/>
      <c r="BP312" s="380"/>
      <c r="BQ312" s="380"/>
      <c r="BR312" s="380"/>
    </row>
    <row r="313" spans="1:70" ht="12.75" customHeight="1" x14ac:dyDescent="0.25">
      <c r="A313" s="380"/>
      <c r="B313" s="380"/>
      <c r="C313" s="380"/>
      <c r="D313" s="380"/>
      <c r="E313" s="511"/>
      <c r="F313" s="511"/>
      <c r="G313" s="582"/>
      <c r="H313" s="511"/>
      <c r="I313" s="511"/>
      <c r="J313" s="582"/>
      <c r="K313" s="511"/>
      <c r="L313" s="511"/>
      <c r="M313" s="582"/>
      <c r="N313" s="582"/>
      <c r="O313" s="582"/>
      <c r="P313" s="582"/>
      <c r="Q313" s="511"/>
      <c r="R313" s="511"/>
      <c r="S313" s="511"/>
      <c r="T313" s="639"/>
      <c r="U313" s="511"/>
      <c r="V313" s="511"/>
      <c r="W313" s="511"/>
      <c r="X313" s="511"/>
      <c r="Y313" s="380"/>
      <c r="Z313" s="380"/>
      <c r="AA313" s="380"/>
      <c r="AB313" s="380"/>
      <c r="AC313" s="380"/>
      <c r="AD313" s="671"/>
      <c r="AE313" s="380"/>
      <c r="AF313" s="380"/>
      <c r="AG313" s="380"/>
      <c r="AH313" s="671"/>
      <c r="AI313" s="380"/>
      <c r="AJ313" s="583"/>
      <c r="AK313" s="583"/>
      <c r="AL313" s="511"/>
      <c r="AM313" s="584"/>
      <c r="AN313" s="584"/>
      <c r="AO313" s="584"/>
      <c r="AP313" s="671"/>
      <c r="AQ313" s="584"/>
      <c r="AR313" s="583"/>
      <c r="AS313" s="583"/>
      <c r="AT313" s="585"/>
      <c r="AU313" s="585"/>
      <c r="AV313" s="585"/>
      <c r="AW313" s="585"/>
      <c r="AX313" s="673"/>
      <c r="AY313" s="380"/>
      <c r="AZ313" s="380"/>
      <c r="BA313" s="380"/>
      <c r="BB313" s="380"/>
      <c r="BC313" s="380"/>
      <c r="BD313" s="380"/>
      <c r="BE313" s="380"/>
      <c r="BF313" s="380"/>
      <c r="BG313" s="380"/>
      <c r="BH313" s="380"/>
      <c r="BI313" s="511"/>
      <c r="BJ313" s="380"/>
      <c r="BK313" s="380"/>
      <c r="BL313" s="380"/>
      <c r="BM313" s="380"/>
      <c r="BN313" s="380"/>
      <c r="BO313" s="380"/>
      <c r="BP313" s="380"/>
      <c r="BQ313" s="380"/>
      <c r="BR313" s="380"/>
    </row>
    <row r="314" spans="1:70" ht="12.75" customHeight="1" x14ac:dyDescent="0.25">
      <c r="A314" s="380"/>
      <c r="B314" s="380"/>
      <c r="C314" s="380"/>
      <c r="D314" s="380"/>
      <c r="E314" s="511"/>
      <c r="F314" s="511"/>
      <c r="G314" s="582"/>
      <c r="H314" s="511"/>
      <c r="I314" s="511"/>
      <c r="J314" s="582"/>
      <c r="K314" s="511"/>
      <c r="L314" s="511"/>
      <c r="M314" s="582"/>
      <c r="N314" s="582"/>
      <c r="O314" s="582"/>
      <c r="P314" s="582"/>
      <c r="Q314" s="511"/>
      <c r="R314" s="511"/>
      <c r="S314" s="511"/>
      <c r="T314" s="639"/>
      <c r="U314" s="511"/>
      <c r="V314" s="511"/>
      <c r="W314" s="511"/>
      <c r="X314" s="511"/>
      <c r="Y314" s="380"/>
      <c r="Z314" s="380"/>
      <c r="AA314" s="380"/>
      <c r="AB314" s="380"/>
      <c r="AC314" s="380"/>
      <c r="AD314" s="671"/>
      <c r="AE314" s="380"/>
      <c r="AF314" s="380"/>
      <c r="AG314" s="380"/>
      <c r="AH314" s="671"/>
      <c r="AI314" s="380"/>
      <c r="AJ314" s="583"/>
      <c r="AK314" s="583"/>
      <c r="AL314" s="511"/>
      <c r="AM314" s="584"/>
      <c r="AN314" s="584"/>
      <c r="AO314" s="584"/>
      <c r="AP314" s="671"/>
      <c r="AQ314" s="584"/>
      <c r="AR314" s="583"/>
      <c r="AS314" s="583"/>
      <c r="AT314" s="585"/>
      <c r="AU314" s="585"/>
      <c r="AV314" s="585"/>
      <c r="AW314" s="585"/>
      <c r="AX314" s="673"/>
      <c r="AY314" s="380"/>
      <c r="AZ314" s="380"/>
      <c r="BA314" s="380"/>
      <c r="BB314" s="380"/>
      <c r="BC314" s="380"/>
      <c r="BD314" s="380"/>
      <c r="BE314" s="380"/>
      <c r="BF314" s="380"/>
      <c r="BG314" s="380"/>
      <c r="BH314" s="380"/>
      <c r="BI314" s="511"/>
      <c r="BJ314" s="380"/>
      <c r="BK314" s="380"/>
      <c r="BL314" s="380"/>
      <c r="BM314" s="380"/>
      <c r="BN314" s="380"/>
      <c r="BO314" s="380"/>
      <c r="BP314" s="380"/>
      <c r="BQ314" s="380"/>
      <c r="BR314" s="380"/>
    </row>
    <row r="315" spans="1:70" ht="12.75" customHeight="1" x14ac:dyDescent="0.25">
      <c r="A315" s="380"/>
      <c r="B315" s="380"/>
      <c r="C315" s="380"/>
      <c r="D315" s="380"/>
      <c r="E315" s="511"/>
      <c r="F315" s="511"/>
      <c r="G315" s="582"/>
      <c r="H315" s="511"/>
      <c r="I315" s="511"/>
      <c r="J315" s="582"/>
      <c r="K315" s="511"/>
      <c r="L315" s="511"/>
      <c r="M315" s="582"/>
      <c r="N315" s="582"/>
      <c r="O315" s="582"/>
      <c r="P315" s="582"/>
      <c r="Q315" s="511"/>
      <c r="R315" s="511"/>
      <c r="S315" s="511"/>
      <c r="T315" s="639"/>
      <c r="U315" s="511"/>
      <c r="V315" s="511"/>
      <c r="W315" s="511"/>
      <c r="X315" s="511"/>
      <c r="Y315" s="380"/>
      <c r="Z315" s="380"/>
      <c r="AA315" s="380"/>
      <c r="AB315" s="380"/>
      <c r="AC315" s="380"/>
      <c r="AD315" s="671"/>
      <c r="AE315" s="380"/>
      <c r="AF315" s="380"/>
      <c r="AG315" s="380"/>
      <c r="AH315" s="671"/>
      <c r="AI315" s="380"/>
      <c r="AJ315" s="583"/>
      <c r="AK315" s="583"/>
      <c r="AL315" s="511"/>
      <c r="AM315" s="584"/>
      <c r="AN315" s="584"/>
      <c r="AO315" s="584"/>
      <c r="AP315" s="671"/>
      <c r="AQ315" s="584"/>
      <c r="AR315" s="583"/>
      <c r="AS315" s="583"/>
      <c r="AT315" s="585"/>
      <c r="AU315" s="585"/>
      <c r="AV315" s="585"/>
      <c r="AW315" s="585"/>
      <c r="AX315" s="673"/>
      <c r="AY315" s="380"/>
      <c r="AZ315" s="380"/>
      <c r="BA315" s="380"/>
      <c r="BB315" s="380"/>
      <c r="BC315" s="380"/>
      <c r="BD315" s="380"/>
      <c r="BE315" s="380"/>
      <c r="BF315" s="380"/>
      <c r="BG315" s="380"/>
      <c r="BH315" s="380"/>
      <c r="BI315" s="511"/>
      <c r="BJ315" s="380"/>
      <c r="BK315" s="380"/>
      <c r="BL315" s="380"/>
      <c r="BM315" s="380"/>
      <c r="BN315" s="380"/>
      <c r="BO315" s="380"/>
      <c r="BP315" s="380"/>
      <c r="BQ315" s="380"/>
      <c r="BR315" s="380"/>
    </row>
    <row r="316" spans="1:70" ht="12.75" customHeight="1" x14ac:dyDescent="0.25">
      <c r="A316" s="380"/>
      <c r="B316" s="380"/>
      <c r="C316" s="380"/>
      <c r="D316" s="380"/>
      <c r="E316" s="511"/>
      <c r="F316" s="511"/>
      <c r="G316" s="582"/>
      <c r="H316" s="511"/>
      <c r="I316" s="511"/>
      <c r="J316" s="582"/>
      <c r="K316" s="511"/>
      <c r="L316" s="511"/>
      <c r="M316" s="582"/>
      <c r="N316" s="582"/>
      <c r="O316" s="582"/>
      <c r="P316" s="582"/>
      <c r="Q316" s="511"/>
      <c r="R316" s="511"/>
      <c r="S316" s="511"/>
      <c r="T316" s="639"/>
      <c r="U316" s="511"/>
      <c r="V316" s="511"/>
      <c r="W316" s="511"/>
      <c r="X316" s="511"/>
      <c r="Y316" s="380"/>
      <c r="Z316" s="380"/>
      <c r="AA316" s="380"/>
      <c r="AB316" s="380"/>
      <c r="AC316" s="380"/>
      <c r="AD316" s="671"/>
      <c r="AE316" s="380"/>
      <c r="AF316" s="380"/>
      <c r="AG316" s="380"/>
      <c r="AH316" s="671"/>
      <c r="AI316" s="380"/>
      <c r="AJ316" s="583"/>
      <c r="AK316" s="583"/>
      <c r="AL316" s="511"/>
      <c r="AM316" s="584"/>
      <c r="AN316" s="584"/>
      <c r="AO316" s="584"/>
      <c r="AP316" s="671"/>
      <c r="AQ316" s="584"/>
      <c r="AR316" s="583"/>
      <c r="AS316" s="583"/>
      <c r="AT316" s="585"/>
      <c r="AU316" s="585"/>
      <c r="AV316" s="585"/>
      <c r="AW316" s="585"/>
      <c r="AX316" s="673"/>
      <c r="AY316" s="380"/>
      <c r="AZ316" s="380"/>
      <c r="BA316" s="380"/>
      <c r="BB316" s="380"/>
      <c r="BC316" s="380"/>
      <c r="BD316" s="380"/>
      <c r="BE316" s="380"/>
      <c r="BF316" s="380"/>
      <c r="BG316" s="380"/>
      <c r="BH316" s="380"/>
      <c r="BI316" s="511"/>
      <c r="BJ316" s="380"/>
      <c r="BK316" s="380"/>
      <c r="BL316" s="380"/>
      <c r="BM316" s="380"/>
      <c r="BN316" s="380"/>
      <c r="BO316" s="380"/>
      <c r="BP316" s="380"/>
      <c r="BQ316" s="380"/>
      <c r="BR316" s="380"/>
    </row>
    <row r="317" spans="1:70" ht="12.75" customHeight="1" x14ac:dyDescent="0.25">
      <c r="A317" s="380"/>
      <c r="B317" s="380"/>
      <c r="C317" s="380"/>
      <c r="D317" s="380"/>
      <c r="E317" s="511"/>
      <c r="F317" s="511"/>
      <c r="G317" s="582"/>
      <c r="H317" s="511"/>
      <c r="I317" s="511"/>
      <c r="J317" s="582"/>
      <c r="K317" s="511"/>
      <c r="L317" s="511"/>
      <c r="M317" s="582"/>
      <c r="N317" s="582"/>
      <c r="O317" s="582"/>
      <c r="P317" s="582"/>
      <c r="Q317" s="511"/>
      <c r="R317" s="511"/>
      <c r="S317" s="511"/>
      <c r="T317" s="639"/>
      <c r="U317" s="511"/>
      <c r="V317" s="511"/>
      <c r="W317" s="511"/>
      <c r="X317" s="511"/>
      <c r="Y317" s="380"/>
      <c r="Z317" s="380"/>
      <c r="AA317" s="380"/>
      <c r="AB317" s="380"/>
      <c r="AC317" s="380"/>
      <c r="AD317" s="671"/>
      <c r="AE317" s="380"/>
      <c r="AF317" s="380"/>
      <c r="AG317" s="380"/>
      <c r="AH317" s="671"/>
      <c r="AI317" s="380"/>
      <c r="AJ317" s="583"/>
      <c r="AK317" s="583"/>
      <c r="AL317" s="511"/>
      <c r="AM317" s="584"/>
      <c r="AN317" s="584"/>
      <c r="AO317" s="584"/>
      <c r="AP317" s="671"/>
      <c r="AQ317" s="584"/>
      <c r="AR317" s="583"/>
      <c r="AS317" s="583"/>
      <c r="AT317" s="585"/>
      <c r="AU317" s="585"/>
      <c r="AV317" s="585"/>
      <c r="AW317" s="585"/>
      <c r="AX317" s="673"/>
      <c r="AY317" s="380"/>
      <c r="AZ317" s="380"/>
      <c r="BA317" s="380"/>
      <c r="BB317" s="380"/>
      <c r="BC317" s="380"/>
      <c r="BD317" s="380"/>
      <c r="BE317" s="380"/>
      <c r="BF317" s="380"/>
      <c r="BG317" s="380"/>
      <c r="BH317" s="380"/>
      <c r="BI317" s="511"/>
      <c r="BJ317" s="380"/>
      <c r="BK317" s="380"/>
      <c r="BL317" s="380"/>
      <c r="BM317" s="380"/>
      <c r="BN317" s="380"/>
      <c r="BO317" s="380"/>
      <c r="BP317" s="380"/>
      <c r="BQ317" s="380"/>
      <c r="BR317" s="380"/>
    </row>
    <row r="318" spans="1:70" ht="12.75" customHeight="1" x14ac:dyDescent="0.25">
      <c r="A318" s="380"/>
      <c r="B318" s="380"/>
      <c r="C318" s="380"/>
      <c r="D318" s="380"/>
      <c r="E318" s="511"/>
      <c r="F318" s="511"/>
      <c r="G318" s="582"/>
      <c r="H318" s="511"/>
      <c r="I318" s="511"/>
      <c r="J318" s="582"/>
      <c r="K318" s="511"/>
      <c r="L318" s="511"/>
      <c r="M318" s="582"/>
      <c r="N318" s="582"/>
      <c r="O318" s="582"/>
      <c r="P318" s="582"/>
      <c r="Q318" s="511"/>
      <c r="R318" s="511"/>
      <c r="S318" s="511"/>
      <c r="T318" s="639"/>
      <c r="U318" s="511"/>
      <c r="V318" s="511"/>
      <c r="W318" s="511"/>
      <c r="X318" s="511"/>
      <c r="Y318" s="380"/>
      <c r="Z318" s="380"/>
      <c r="AA318" s="380"/>
      <c r="AB318" s="380"/>
      <c r="AC318" s="380"/>
      <c r="AD318" s="671"/>
      <c r="AE318" s="380"/>
      <c r="AF318" s="380"/>
      <c r="AG318" s="380"/>
      <c r="AH318" s="671"/>
      <c r="AI318" s="380"/>
      <c r="AJ318" s="583"/>
      <c r="AK318" s="583"/>
      <c r="AL318" s="511"/>
      <c r="AM318" s="584"/>
      <c r="AN318" s="584"/>
      <c r="AO318" s="584"/>
      <c r="AP318" s="671"/>
      <c r="AQ318" s="584"/>
      <c r="AR318" s="583"/>
      <c r="AS318" s="583"/>
      <c r="AT318" s="585"/>
      <c r="AU318" s="585"/>
      <c r="AV318" s="585"/>
      <c r="AW318" s="585"/>
      <c r="AX318" s="673"/>
      <c r="AY318" s="380"/>
      <c r="AZ318" s="380"/>
      <c r="BA318" s="380"/>
      <c r="BB318" s="380"/>
      <c r="BC318" s="380"/>
      <c r="BD318" s="380"/>
      <c r="BE318" s="380"/>
      <c r="BF318" s="380"/>
      <c r="BG318" s="380"/>
      <c r="BH318" s="380"/>
      <c r="BI318" s="511"/>
      <c r="BJ318" s="380"/>
      <c r="BK318" s="380"/>
      <c r="BL318" s="380"/>
      <c r="BM318" s="380"/>
      <c r="BN318" s="380"/>
      <c r="BO318" s="380"/>
      <c r="BP318" s="380"/>
      <c r="BQ318" s="380"/>
      <c r="BR318" s="380"/>
    </row>
    <row r="319" spans="1:70" ht="12.75" customHeight="1" x14ac:dyDescent="0.25">
      <c r="A319" s="380"/>
      <c r="B319" s="380"/>
      <c r="C319" s="380"/>
      <c r="D319" s="380"/>
      <c r="E319" s="511"/>
      <c r="F319" s="511"/>
      <c r="G319" s="582"/>
      <c r="H319" s="511"/>
      <c r="I319" s="511"/>
      <c r="J319" s="582"/>
      <c r="K319" s="511"/>
      <c r="L319" s="511"/>
      <c r="M319" s="582"/>
      <c r="N319" s="582"/>
      <c r="O319" s="582"/>
      <c r="P319" s="582"/>
      <c r="Q319" s="511"/>
      <c r="R319" s="511"/>
      <c r="S319" s="511"/>
      <c r="T319" s="639"/>
      <c r="U319" s="511"/>
      <c r="V319" s="511"/>
      <c r="W319" s="511"/>
      <c r="X319" s="511"/>
      <c r="Y319" s="380"/>
      <c r="Z319" s="380"/>
      <c r="AA319" s="380"/>
      <c r="AB319" s="380"/>
      <c r="AC319" s="380"/>
      <c r="AD319" s="671"/>
      <c r="AE319" s="380"/>
      <c r="AF319" s="380"/>
      <c r="AG319" s="380"/>
      <c r="AH319" s="671"/>
      <c r="AI319" s="380"/>
      <c r="AJ319" s="583"/>
      <c r="AK319" s="583"/>
      <c r="AL319" s="511"/>
      <c r="AM319" s="584"/>
      <c r="AN319" s="584"/>
      <c r="AO319" s="584"/>
      <c r="AP319" s="671"/>
      <c r="AQ319" s="584"/>
      <c r="AR319" s="583"/>
      <c r="AS319" s="583"/>
      <c r="AT319" s="585"/>
      <c r="AU319" s="585"/>
      <c r="AV319" s="585"/>
      <c r="AW319" s="585"/>
      <c r="AX319" s="673"/>
      <c r="AY319" s="380"/>
      <c r="AZ319" s="380"/>
      <c r="BA319" s="380"/>
      <c r="BB319" s="380"/>
      <c r="BC319" s="380"/>
      <c r="BD319" s="380"/>
      <c r="BE319" s="380"/>
      <c r="BF319" s="380"/>
      <c r="BG319" s="380"/>
      <c r="BH319" s="380"/>
      <c r="BI319" s="511"/>
      <c r="BJ319" s="380"/>
      <c r="BK319" s="380"/>
      <c r="BL319" s="380"/>
      <c r="BM319" s="380"/>
      <c r="BN319" s="380"/>
      <c r="BO319" s="380"/>
      <c r="BP319" s="380"/>
      <c r="BQ319" s="380"/>
      <c r="BR319" s="380"/>
    </row>
    <row r="320" spans="1:70" ht="12.75" customHeight="1" x14ac:dyDescent="0.25">
      <c r="A320" s="380"/>
      <c r="B320" s="380"/>
      <c r="C320" s="380"/>
      <c r="D320" s="380"/>
      <c r="E320" s="511"/>
      <c r="F320" s="511"/>
      <c r="G320" s="582"/>
      <c r="H320" s="511"/>
      <c r="I320" s="511"/>
      <c r="J320" s="582"/>
      <c r="K320" s="511"/>
      <c r="L320" s="511"/>
      <c r="M320" s="582"/>
      <c r="N320" s="582"/>
      <c r="O320" s="582"/>
      <c r="P320" s="582"/>
      <c r="Q320" s="511"/>
      <c r="R320" s="511"/>
      <c r="S320" s="511"/>
      <c r="T320" s="639"/>
      <c r="U320" s="511"/>
      <c r="V320" s="511"/>
      <c r="W320" s="511"/>
      <c r="X320" s="511"/>
      <c r="Y320" s="380"/>
      <c r="Z320" s="380"/>
      <c r="AA320" s="380"/>
      <c r="AB320" s="380"/>
      <c r="AC320" s="380"/>
      <c r="AD320" s="671"/>
      <c r="AE320" s="380"/>
      <c r="AF320" s="380"/>
      <c r="AG320" s="380"/>
      <c r="AH320" s="671"/>
      <c r="AI320" s="380"/>
      <c r="AJ320" s="583"/>
      <c r="AK320" s="583"/>
      <c r="AL320" s="511"/>
      <c r="AM320" s="584"/>
      <c r="AN320" s="584"/>
      <c r="AO320" s="584"/>
      <c r="AP320" s="671"/>
      <c r="AQ320" s="584"/>
      <c r="AR320" s="583"/>
      <c r="AS320" s="583"/>
      <c r="AT320" s="585"/>
      <c r="AU320" s="585"/>
      <c r="AV320" s="585"/>
      <c r="AW320" s="585"/>
      <c r="AX320" s="673"/>
      <c r="AY320" s="380"/>
      <c r="AZ320" s="380"/>
      <c r="BA320" s="380"/>
      <c r="BB320" s="380"/>
      <c r="BC320" s="380"/>
      <c r="BD320" s="380"/>
      <c r="BE320" s="380"/>
      <c r="BF320" s="380"/>
      <c r="BG320" s="380"/>
      <c r="BH320" s="380"/>
      <c r="BI320" s="511"/>
      <c r="BJ320" s="380"/>
      <c r="BK320" s="380"/>
      <c r="BL320" s="380"/>
      <c r="BM320" s="380"/>
      <c r="BN320" s="380"/>
      <c r="BO320" s="380"/>
      <c r="BP320" s="380"/>
      <c r="BQ320" s="380"/>
      <c r="BR320" s="380"/>
    </row>
    <row r="321" spans="1:70" ht="12.75" customHeight="1" x14ac:dyDescent="0.25">
      <c r="A321" s="380"/>
      <c r="B321" s="380"/>
      <c r="C321" s="380"/>
      <c r="D321" s="380"/>
      <c r="E321" s="511"/>
      <c r="F321" s="511"/>
      <c r="G321" s="582"/>
      <c r="H321" s="511"/>
      <c r="I321" s="511"/>
      <c r="J321" s="582"/>
      <c r="K321" s="511"/>
      <c r="L321" s="511"/>
      <c r="M321" s="582"/>
      <c r="N321" s="582"/>
      <c r="O321" s="582"/>
      <c r="P321" s="582"/>
      <c r="Q321" s="511"/>
      <c r="R321" s="511"/>
      <c r="S321" s="511"/>
      <c r="T321" s="639"/>
      <c r="U321" s="511"/>
      <c r="V321" s="511"/>
      <c r="W321" s="511"/>
      <c r="X321" s="511"/>
      <c r="Y321" s="380"/>
      <c r="Z321" s="380"/>
      <c r="AA321" s="380"/>
      <c r="AB321" s="380"/>
      <c r="AC321" s="380"/>
      <c r="AD321" s="671"/>
      <c r="AE321" s="380"/>
      <c r="AF321" s="380"/>
      <c r="AG321" s="380"/>
      <c r="AH321" s="671"/>
      <c r="AI321" s="380"/>
      <c r="AJ321" s="583"/>
      <c r="AK321" s="583"/>
      <c r="AL321" s="511"/>
      <c r="AM321" s="584"/>
      <c r="AN321" s="584"/>
      <c r="AO321" s="584"/>
      <c r="AP321" s="671"/>
      <c r="AQ321" s="584"/>
      <c r="AR321" s="583"/>
      <c r="AS321" s="583"/>
      <c r="AT321" s="585"/>
      <c r="AU321" s="585"/>
      <c r="AV321" s="585"/>
      <c r="AW321" s="585"/>
      <c r="AX321" s="673"/>
      <c r="AY321" s="380"/>
      <c r="AZ321" s="380"/>
      <c r="BA321" s="380"/>
      <c r="BB321" s="380"/>
      <c r="BC321" s="380"/>
      <c r="BD321" s="380"/>
      <c r="BE321" s="380"/>
      <c r="BF321" s="380"/>
      <c r="BG321" s="380"/>
      <c r="BH321" s="380"/>
      <c r="BI321" s="511"/>
      <c r="BJ321" s="380"/>
      <c r="BK321" s="380"/>
      <c r="BL321" s="380"/>
      <c r="BM321" s="380"/>
      <c r="BN321" s="380"/>
      <c r="BO321" s="380"/>
      <c r="BP321" s="380"/>
      <c r="BQ321" s="380"/>
      <c r="BR321" s="380"/>
    </row>
    <row r="322" spans="1:70" ht="12.75" customHeight="1" x14ac:dyDescent="0.25">
      <c r="A322" s="380"/>
      <c r="B322" s="380"/>
      <c r="C322" s="380"/>
      <c r="D322" s="380"/>
      <c r="E322" s="511"/>
      <c r="F322" s="511"/>
      <c r="G322" s="582"/>
      <c r="H322" s="511"/>
      <c r="I322" s="511"/>
      <c r="J322" s="582"/>
      <c r="K322" s="511"/>
      <c r="L322" s="511"/>
      <c r="M322" s="582"/>
      <c r="N322" s="582"/>
      <c r="O322" s="582"/>
      <c r="P322" s="582"/>
      <c r="Q322" s="511"/>
      <c r="R322" s="511"/>
      <c r="S322" s="511"/>
      <c r="T322" s="639"/>
      <c r="U322" s="511"/>
      <c r="V322" s="511"/>
      <c r="W322" s="511"/>
      <c r="X322" s="511"/>
      <c r="Y322" s="380"/>
      <c r="Z322" s="380"/>
      <c r="AA322" s="380"/>
      <c r="AB322" s="380"/>
      <c r="AC322" s="380"/>
      <c r="AD322" s="671"/>
      <c r="AE322" s="380"/>
      <c r="AF322" s="380"/>
      <c r="AG322" s="380"/>
      <c r="AH322" s="671"/>
      <c r="AI322" s="380"/>
      <c r="AJ322" s="583"/>
      <c r="AK322" s="583"/>
      <c r="AL322" s="511"/>
      <c r="AM322" s="584"/>
      <c r="AN322" s="584"/>
      <c r="AO322" s="584"/>
      <c r="AP322" s="671"/>
      <c r="AQ322" s="584"/>
      <c r="AR322" s="583"/>
      <c r="AS322" s="583"/>
      <c r="AT322" s="585"/>
      <c r="AU322" s="585"/>
      <c r="AV322" s="585"/>
      <c r="AW322" s="585"/>
      <c r="AX322" s="673"/>
      <c r="AY322" s="380"/>
      <c r="AZ322" s="380"/>
      <c r="BA322" s="380"/>
      <c r="BB322" s="380"/>
      <c r="BC322" s="380"/>
      <c r="BD322" s="380"/>
      <c r="BE322" s="380"/>
      <c r="BF322" s="380"/>
      <c r="BG322" s="380"/>
      <c r="BH322" s="380"/>
      <c r="BI322" s="511"/>
      <c r="BJ322" s="380"/>
      <c r="BK322" s="380"/>
      <c r="BL322" s="380"/>
      <c r="BM322" s="380"/>
      <c r="BN322" s="380"/>
      <c r="BO322" s="380"/>
      <c r="BP322" s="380"/>
      <c r="BQ322" s="380"/>
      <c r="BR322" s="380"/>
    </row>
    <row r="323" spans="1:70" ht="12.75" customHeight="1" x14ac:dyDescent="0.25">
      <c r="A323" s="380"/>
      <c r="B323" s="380"/>
      <c r="C323" s="380"/>
      <c r="D323" s="380"/>
      <c r="E323" s="511"/>
      <c r="F323" s="511"/>
      <c r="G323" s="582"/>
      <c r="H323" s="511"/>
      <c r="I323" s="511"/>
      <c r="J323" s="582"/>
      <c r="K323" s="511"/>
      <c r="L323" s="511"/>
      <c r="M323" s="582"/>
      <c r="N323" s="582"/>
      <c r="O323" s="582"/>
      <c r="P323" s="582"/>
      <c r="Q323" s="511"/>
      <c r="R323" s="511"/>
      <c r="S323" s="511"/>
      <c r="T323" s="639"/>
      <c r="U323" s="511"/>
      <c r="V323" s="511"/>
      <c r="W323" s="511"/>
      <c r="X323" s="511"/>
      <c r="Y323" s="380"/>
      <c r="Z323" s="380"/>
      <c r="AA323" s="380"/>
      <c r="AB323" s="380"/>
      <c r="AC323" s="380"/>
      <c r="AD323" s="671"/>
      <c r="AE323" s="380"/>
      <c r="AF323" s="380"/>
      <c r="AG323" s="380"/>
      <c r="AH323" s="671"/>
      <c r="AI323" s="380"/>
      <c r="AJ323" s="583"/>
      <c r="AK323" s="583"/>
      <c r="AL323" s="511"/>
      <c r="AM323" s="584"/>
      <c r="AN323" s="584"/>
      <c r="AO323" s="584"/>
      <c r="AP323" s="671"/>
      <c r="AQ323" s="584"/>
      <c r="AR323" s="583"/>
      <c r="AS323" s="583"/>
      <c r="AT323" s="585"/>
      <c r="AU323" s="585"/>
      <c r="AV323" s="585"/>
      <c r="AW323" s="585"/>
      <c r="AX323" s="673"/>
      <c r="AY323" s="380"/>
      <c r="AZ323" s="380"/>
      <c r="BA323" s="380"/>
      <c r="BB323" s="380"/>
      <c r="BC323" s="380"/>
      <c r="BD323" s="380"/>
      <c r="BE323" s="380"/>
      <c r="BF323" s="380"/>
      <c r="BG323" s="380"/>
      <c r="BH323" s="380"/>
      <c r="BI323" s="511"/>
      <c r="BJ323" s="380"/>
      <c r="BK323" s="380"/>
      <c r="BL323" s="380"/>
      <c r="BM323" s="380"/>
      <c r="BN323" s="380"/>
      <c r="BO323" s="380"/>
      <c r="BP323" s="380"/>
      <c r="BQ323" s="380"/>
      <c r="BR323" s="380"/>
    </row>
    <row r="324" spans="1:70" ht="12.75" customHeight="1" x14ac:dyDescent="0.25">
      <c r="A324" s="380"/>
      <c r="B324" s="380"/>
      <c r="C324" s="380"/>
      <c r="D324" s="380"/>
      <c r="E324" s="511"/>
      <c r="F324" s="511"/>
      <c r="G324" s="582"/>
      <c r="H324" s="511"/>
      <c r="I324" s="511"/>
      <c r="J324" s="582"/>
      <c r="K324" s="511"/>
      <c r="L324" s="511"/>
      <c r="M324" s="582"/>
      <c r="N324" s="582"/>
      <c r="O324" s="582"/>
      <c r="P324" s="582"/>
      <c r="Q324" s="511"/>
      <c r="R324" s="511"/>
      <c r="S324" s="511"/>
      <c r="T324" s="639"/>
      <c r="U324" s="511"/>
      <c r="V324" s="511"/>
      <c r="W324" s="511"/>
      <c r="X324" s="511"/>
      <c r="Y324" s="380"/>
      <c r="Z324" s="380"/>
      <c r="AA324" s="380"/>
      <c r="AB324" s="380"/>
      <c r="AC324" s="380"/>
      <c r="AD324" s="671"/>
      <c r="AE324" s="380"/>
      <c r="AF324" s="380"/>
      <c r="AG324" s="380"/>
      <c r="AH324" s="671"/>
      <c r="AI324" s="380"/>
      <c r="AJ324" s="583"/>
      <c r="AK324" s="583"/>
      <c r="AL324" s="511"/>
      <c r="AM324" s="584"/>
      <c r="AN324" s="584"/>
      <c r="AO324" s="584"/>
      <c r="AP324" s="671"/>
      <c r="AQ324" s="584"/>
      <c r="AR324" s="583"/>
      <c r="AS324" s="583"/>
      <c r="AT324" s="585"/>
      <c r="AU324" s="585"/>
      <c r="AV324" s="585"/>
      <c r="AW324" s="585"/>
      <c r="AX324" s="673"/>
      <c r="AY324" s="380"/>
      <c r="AZ324" s="380"/>
      <c r="BA324" s="380"/>
      <c r="BB324" s="380"/>
      <c r="BC324" s="380"/>
      <c r="BD324" s="380"/>
      <c r="BE324" s="380"/>
      <c r="BF324" s="380"/>
      <c r="BG324" s="380"/>
      <c r="BH324" s="380"/>
      <c r="BI324" s="511"/>
      <c r="BJ324" s="380"/>
      <c r="BK324" s="380"/>
      <c r="BL324" s="380"/>
      <c r="BM324" s="380"/>
      <c r="BN324" s="380"/>
      <c r="BO324" s="380"/>
      <c r="BP324" s="380"/>
      <c r="BQ324" s="380"/>
      <c r="BR324" s="380"/>
    </row>
    <row r="325" spans="1:70" ht="12.75" customHeight="1" x14ac:dyDescent="0.25">
      <c r="A325" s="380"/>
      <c r="B325" s="380"/>
      <c r="C325" s="380"/>
      <c r="D325" s="380"/>
      <c r="E325" s="511"/>
      <c r="F325" s="511"/>
      <c r="G325" s="582"/>
      <c r="H325" s="511"/>
      <c r="I325" s="511"/>
      <c r="J325" s="582"/>
      <c r="K325" s="511"/>
      <c r="L325" s="511"/>
      <c r="M325" s="582"/>
      <c r="N325" s="582"/>
      <c r="O325" s="582"/>
      <c r="P325" s="582"/>
      <c r="Q325" s="511"/>
      <c r="R325" s="511"/>
      <c r="S325" s="511"/>
      <c r="T325" s="639"/>
      <c r="U325" s="511"/>
      <c r="V325" s="511"/>
      <c r="W325" s="511"/>
      <c r="X325" s="511"/>
      <c r="Y325" s="380"/>
      <c r="Z325" s="380"/>
      <c r="AA325" s="380"/>
      <c r="AB325" s="380"/>
      <c r="AC325" s="380"/>
      <c r="AD325" s="671"/>
      <c r="AE325" s="380"/>
      <c r="AF325" s="380"/>
      <c r="AG325" s="380"/>
      <c r="AH325" s="671"/>
      <c r="AI325" s="380"/>
      <c r="AJ325" s="583"/>
      <c r="AK325" s="583"/>
      <c r="AL325" s="511"/>
      <c r="AM325" s="584"/>
      <c r="AN325" s="584"/>
      <c r="AO325" s="584"/>
      <c r="AP325" s="671"/>
      <c r="AQ325" s="584"/>
      <c r="AR325" s="583"/>
      <c r="AS325" s="583"/>
      <c r="AT325" s="585"/>
      <c r="AU325" s="585"/>
      <c r="AV325" s="585"/>
      <c r="AW325" s="585"/>
      <c r="AX325" s="673"/>
      <c r="AY325" s="380"/>
      <c r="AZ325" s="380"/>
      <c r="BA325" s="380"/>
      <c r="BB325" s="380"/>
      <c r="BC325" s="380"/>
      <c r="BD325" s="380"/>
      <c r="BE325" s="380"/>
      <c r="BF325" s="380"/>
      <c r="BG325" s="380"/>
      <c r="BH325" s="380"/>
      <c r="BI325" s="511"/>
      <c r="BJ325" s="380"/>
      <c r="BK325" s="380"/>
      <c r="BL325" s="380"/>
      <c r="BM325" s="380"/>
      <c r="BN325" s="380"/>
      <c r="BO325" s="380"/>
      <c r="BP325" s="380"/>
      <c r="BQ325" s="380"/>
      <c r="BR325" s="380"/>
    </row>
    <row r="326" spans="1:70" ht="12.75" customHeight="1" x14ac:dyDescent="0.25">
      <c r="A326" s="380"/>
      <c r="B326" s="380"/>
      <c r="C326" s="380"/>
      <c r="D326" s="380"/>
      <c r="E326" s="511"/>
      <c r="F326" s="511"/>
      <c r="G326" s="582"/>
      <c r="H326" s="511"/>
      <c r="I326" s="511"/>
      <c r="J326" s="582"/>
      <c r="K326" s="511"/>
      <c r="L326" s="511"/>
      <c r="M326" s="582"/>
      <c r="N326" s="582"/>
      <c r="O326" s="582"/>
      <c r="P326" s="582"/>
      <c r="Q326" s="511"/>
      <c r="R326" s="511"/>
      <c r="S326" s="511"/>
      <c r="T326" s="639"/>
      <c r="U326" s="511"/>
      <c r="V326" s="511"/>
      <c r="W326" s="511"/>
      <c r="X326" s="511"/>
      <c r="Y326" s="380"/>
      <c r="Z326" s="380"/>
      <c r="AA326" s="380"/>
      <c r="AB326" s="380"/>
      <c r="AC326" s="380"/>
      <c r="AD326" s="671"/>
      <c r="AE326" s="380"/>
      <c r="AF326" s="380"/>
      <c r="AG326" s="380"/>
      <c r="AH326" s="671"/>
      <c r="AI326" s="380"/>
      <c r="AJ326" s="583"/>
      <c r="AK326" s="583"/>
      <c r="AL326" s="511"/>
      <c r="AM326" s="584"/>
      <c r="AN326" s="584"/>
      <c r="AO326" s="584"/>
      <c r="AP326" s="671"/>
      <c r="AQ326" s="584"/>
      <c r="AR326" s="583"/>
      <c r="AS326" s="583"/>
      <c r="AT326" s="585"/>
      <c r="AU326" s="585"/>
      <c r="AV326" s="585"/>
      <c r="AW326" s="585"/>
      <c r="AX326" s="673"/>
      <c r="AY326" s="380"/>
      <c r="AZ326" s="380"/>
      <c r="BA326" s="380"/>
      <c r="BB326" s="380"/>
      <c r="BC326" s="380"/>
      <c r="BD326" s="380"/>
      <c r="BE326" s="380"/>
      <c r="BF326" s="380"/>
      <c r="BG326" s="380"/>
      <c r="BH326" s="380"/>
      <c r="BI326" s="511"/>
      <c r="BJ326" s="380"/>
      <c r="BK326" s="380"/>
      <c r="BL326" s="380"/>
      <c r="BM326" s="380"/>
      <c r="BN326" s="380"/>
      <c r="BO326" s="380"/>
      <c r="BP326" s="380"/>
      <c r="BQ326" s="380"/>
      <c r="BR326" s="380"/>
    </row>
    <row r="327" spans="1:70" ht="12.75" customHeight="1" x14ac:dyDescent="0.25">
      <c r="A327" s="380"/>
      <c r="B327" s="380"/>
      <c r="C327" s="380"/>
      <c r="D327" s="380"/>
      <c r="E327" s="511"/>
      <c r="F327" s="511"/>
      <c r="G327" s="582"/>
      <c r="H327" s="511"/>
      <c r="I327" s="511"/>
      <c r="J327" s="582"/>
      <c r="K327" s="511"/>
      <c r="L327" s="511"/>
      <c r="M327" s="582"/>
      <c r="N327" s="582"/>
      <c r="O327" s="582"/>
      <c r="P327" s="582"/>
      <c r="Q327" s="511"/>
      <c r="R327" s="511"/>
      <c r="S327" s="511"/>
      <c r="T327" s="639"/>
      <c r="U327" s="511"/>
      <c r="V327" s="511"/>
      <c r="W327" s="511"/>
      <c r="X327" s="511"/>
      <c r="Y327" s="380"/>
      <c r="Z327" s="380"/>
      <c r="AA327" s="380"/>
      <c r="AB327" s="380"/>
      <c r="AC327" s="380"/>
      <c r="AD327" s="671"/>
      <c r="AE327" s="380"/>
      <c r="AF327" s="380"/>
      <c r="AG327" s="380"/>
      <c r="AH327" s="671"/>
      <c r="AI327" s="380"/>
      <c r="AJ327" s="583"/>
      <c r="AK327" s="583"/>
      <c r="AL327" s="511"/>
      <c r="AM327" s="584"/>
      <c r="AN327" s="584"/>
      <c r="AO327" s="584"/>
      <c r="AP327" s="671"/>
      <c r="AQ327" s="584"/>
      <c r="AR327" s="583"/>
      <c r="AS327" s="583"/>
      <c r="AT327" s="585"/>
      <c r="AU327" s="585"/>
      <c r="AV327" s="585"/>
      <c r="AW327" s="585"/>
      <c r="AX327" s="673"/>
      <c r="AY327" s="380"/>
      <c r="AZ327" s="380"/>
      <c r="BA327" s="380"/>
      <c r="BB327" s="380"/>
      <c r="BC327" s="380"/>
      <c r="BD327" s="380"/>
      <c r="BE327" s="380"/>
      <c r="BF327" s="380"/>
      <c r="BG327" s="380"/>
      <c r="BH327" s="380"/>
      <c r="BI327" s="511"/>
      <c r="BJ327" s="380"/>
      <c r="BK327" s="380"/>
      <c r="BL327" s="380"/>
      <c r="BM327" s="380"/>
      <c r="BN327" s="380"/>
      <c r="BO327" s="380"/>
      <c r="BP327" s="380"/>
      <c r="BQ327" s="380"/>
      <c r="BR327" s="380"/>
    </row>
    <row r="328" spans="1:70" ht="12.75" customHeight="1" x14ac:dyDescent="0.25">
      <c r="A328" s="380"/>
      <c r="B328" s="380"/>
      <c r="C328" s="380"/>
      <c r="D328" s="380"/>
      <c r="E328" s="511"/>
      <c r="F328" s="511"/>
      <c r="G328" s="582"/>
      <c r="H328" s="511"/>
      <c r="I328" s="511"/>
      <c r="J328" s="582"/>
      <c r="K328" s="511"/>
      <c r="L328" s="511"/>
      <c r="M328" s="582"/>
      <c r="N328" s="582"/>
      <c r="O328" s="582"/>
      <c r="P328" s="582"/>
      <c r="Q328" s="511"/>
      <c r="R328" s="511"/>
      <c r="S328" s="511"/>
      <c r="T328" s="639"/>
      <c r="U328" s="511"/>
      <c r="V328" s="511"/>
      <c r="W328" s="511"/>
      <c r="X328" s="511"/>
      <c r="Y328" s="380"/>
      <c r="Z328" s="380"/>
      <c r="AA328" s="380"/>
      <c r="AB328" s="380"/>
      <c r="AC328" s="380"/>
      <c r="AD328" s="671"/>
      <c r="AE328" s="380"/>
      <c r="AF328" s="380"/>
      <c r="AG328" s="380"/>
      <c r="AH328" s="671"/>
      <c r="AI328" s="380"/>
      <c r="AJ328" s="583"/>
      <c r="AK328" s="583"/>
      <c r="AL328" s="511"/>
      <c r="AM328" s="584"/>
      <c r="AN328" s="584"/>
      <c r="AO328" s="584"/>
      <c r="AP328" s="671"/>
      <c r="AQ328" s="584"/>
      <c r="AR328" s="583"/>
      <c r="AS328" s="583"/>
      <c r="AT328" s="585"/>
      <c r="AU328" s="585"/>
      <c r="AV328" s="585"/>
      <c r="AW328" s="585"/>
      <c r="AX328" s="673"/>
      <c r="AY328" s="380"/>
      <c r="AZ328" s="380"/>
      <c r="BA328" s="380"/>
      <c r="BB328" s="380"/>
      <c r="BC328" s="380"/>
      <c r="BD328" s="380"/>
      <c r="BE328" s="380"/>
      <c r="BF328" s="380"/>
      <c r="BG328" s="380"/>
      <c r="BH328" s="380"/>
      <c r="BI328" s="511"/>
      <c r="BJ328" s="380"/>
      <c r="BK328" s="380"/>
      <c r="BL328" s="380"/>
      <c r="BM328" s="380"/>
      <c r="BN328" s="380"/>
      <c r="BO328" s="380"/>
      <c r="BP328" s="380"/>
      <c r="BQ328" s="380"/>
      <c r="BR328" s="380"/>
    </row>
    <row r="329" spans="1:70" ht="12.75" customHeight="1" x14ac:dyDescent="0.25">
      <c r="A329" s="380"/>
      <c r="B329" s="380"/>
      <c r="C329" s="380"/>
      <c r="D329" s="380"/>
      <c r="E329" s="511"/>
      <c r="F329" s="511"/>
      <c r="G329" s="582"/>
      <c r="H329" s="511"/>
      <c r="I329" s="511"/>
      <c r="J329" s="582"/>
      <c r="K329" s="511"/>
      <c r="L329" s="511"/>
      <c r="M329" s="582"/>
      <c r="N329" s="582"/>
      <c r="O329" s="582"/>
      <c r="P329" s="582"/>
      <c r="Q329" s="511"/>
      <c r="R329" s="511"/>
      <c r="S329" s="511"/>
      <c r="T329" s="639"/>
      <c r="U329" s="511"/>
      <c r="V329" s="511"/>
      <c r="W329" s="511"/>
      <c r="X329" s="511"/>
      <c r="Y329" s="380"/>
      <c r="Z329" s="380"/>
      <c r="AA329" s="380"/>
      <c r="AB329" s="380"/>
      <c r="AC329" s="380"/>
      <c r="AD329" s="671"/>
      <c r="AE329" s="380"/>
      <c r="AF329" s="380"/>
      <c r="AG329" s="380"/>
      <c r="AH329" s="671"/>
      <c r="AI329" s="380"/>
      <c r="AJ329" s="583"/>
      <c r="AK329" s="583"/>
      <c r="AL329" s="511"/>
      <c r="AM329" s="584"/>
      <c r="AN329" s="584"/>
      <c r="AO329" s="584"/>
      <c r="AP329" s="671"/>
      <c r="AQ329" s="584"/>
      <c r="AR329" s="583"/>
      <c r="AS329" s="583"/>
      <c r="AT329" s="585"/>
      <c r="AU329" s="585"/>
      <c r="AV329" s="585"/>
      <c r="AW329" s="585"/>
      <c r="AX329" s="673"/>
      <c r="AY329" s="380"/>
      <c r="AZ329" s="380"/>
      <c r="BA329" s="380"/>
      <c r="BB329" s="380"/>
      <c r="BC329" s="380"/>
      <c r="BD329" s="380"/>
      <c r="BE329" s="380"/>
      <c r="BF329" s="380"/>
      <c r="BG329" s="380"/>
      <c r="BH329" s="380"/>
      <c r="BI329" s="511"/>
      <c r="BJ329" s="380"/>
      <c r="BK329" s="380"/>
      <c r="BL329" s="380"/>
      <c r="BM329" s="380"/>
      <c r="BN329" s="380"/>
      <c r="BO329" s="380"/>
      <c r="BP329" s="380"/>
      <c r="BQ329" s="380"/>
      <c r="BR329" s="380"/>
    </row>
    <row r="330" spans="1:70" ht="12.75" customHeight="1" x14ac:dyDescent="0.25">
      <c r="A330" s="380"/>
      <c r="B330" s="380"/>
      <c r="C330" s="380"/>
      <c r="D330" s="380"/>
      <c r="E330" s="511"/>
      <c r="F330" s="511"/>
      <c r="G330" s="582"/>
      <c r="H330" s="511"/>
      <c r="I330" s="511"/>
      <c r="J330" s="582"/>
      <c r="K330" s="511"/>
      <c r="L330" s="511"/>
      <c r="M330" s="582"/>
      <c r="N330" s="582"/>
      <c r="O330" s="582"/>
      <c r="P330" s="582"/>
      <c r="Q330" s="511"/>
      <c r="R330" s="511"/>
      <c r="S330" s="511"/>
      <c r="T330" s="639"/>
      <c r="U330" s="511"/>
      <c r="V330" s="511"/>
      <c r="W330" s="511"/>
      <c r="X330" s="511"/>
      <c r="Y330" s="380"/>
      <c r="Z330" s="380"/>
      <c r="AA330" s="380"/>
      <c r="AB330" s="380"/>
      <c r="AC330" s="380"/>
      <c r="AD330" s="671"/>
      <c r="AE330" s="380"/>
      <c r="AF330" s="380"/>
      <c r="AG330" s="380"/>
      <c r="AH330" s="671"/>
      <c r="AI330" s="380"/>
      <c r="AJ330" s="583"/>
      <c r="AK330" s="583"/>
      <c r="AL330" s="511"/>
      <c r="AM330" s="584"/>
      <c r="AN330" s="584"/>
      <c r="AO330" s="584"/>
      <c r="AP330" s="671"/>
      <c r="AQ330" s="584"/>
      <c r="AR330" s="583"/>
      <c r="AS330" s="583"/>
      <c r="AT330" s="585"/>
      <c r="AU330" s="585"/>
      <c r="AV330" s="585"/>
      <c r="AW330" s="585"/>
      <c r="AX330" s="673"/>
      <c r="AY330" s="380"/>
      <c r="AZ330" s="380"/>
      <c r="BA330" s="380"/>
      <c r="BB330" s="380"/>
      <c r="BC330" s="380"/>
      <c r="BD330" s="380"/>
      <c r="BE330" s="380"/>
      <c r="BF330" s="380"/>
      <c r="BG330" s="380"/>
      <c r="BH330" s="380"/>
      <c r="BI330" s="511"/>
      <c r="BJ330" s="380"/>
      <c r="BK330" s="380"/>
      <c r="BL330" s="380"/>
      <c r="BM330" s="380"/>
      <c r="BN330" s="380"/>
      <c r="BO330" s="380"/>
      <c r="BP330" s="380"/>
      <c r="BQ330" s="380"/>
      <c r="BR330" s="380"/>
    </row>
    <row r="331" spans="1:70" ht="12.75" customHeight="1" x14ac:dyDescent="0.25">
      <c r="A331" s="380"/>
      <c r="B331" s="380"/>
      <c r="C331" s="380"/>
      <c r="D331" s="380"/>
      <c r="E331" s="511"/>
      <c r="F331" s="511"/>
      <c r="G331" s="582"/>
      <c r="H331" s="511"/>
      <c r="I331" s="511"/>
      <c r="J331" s="582"/>
      <c r="K331" s="511"/>
      <c r="L331" s="511"/>
      <c r="M331" s="582"/>
      <c r="N331" s="582"/>
      <c r="O331" s="582"/>
      <c r="P331" s="582"/>
      <c r="Q331" s="511"/>
      <c r="R331" s="511"/>
      <c r="S331" s="511"/>
      <c r="T331" s="639"/>
      <c r="U331" s="511"/>
      <c r="V331" s="511"/>
      <c r="W331" s="511"/>
      <c r="X331" s="511"/>
      <c r="Y331" s="380"/>
      <c r="Z331" s="380"/>
      <c r="AA331" s="380"/>
      <c r="AB331" s="380"/>
      <c r="AC331" s="380"/>
      <c r="AD331" s="671"/>
      <c r="AE331" s="380"/>
      <c r="AF331" s="380"/>
      <c r="AG331" s="380"/>
      <c r="AH331" s="671"/>
      <c r="AI331" s="380"/>
      <c r="AJ331" s="583"/>
      <c r="AK331" s="583"/>
      <c r="AL331" s="511"/>
      <c r="AM331" s="584"/>
      <c r="AN331" s="584"/>
      <c r="AO331" s="584"/>
      <c r="AP331" s="671"/>
      <c r="AQ331" s="584"/>
      <c r="AR331" s="583"/>
      <c r="AS331" s="583"/>
      <c r="AT331" s="585"/>
      <c r="AU331" s="585"/>
      <c r="AV331" s="585"/>
      <c r="AW331" s="585"/>
      <c r="AX331" s="673"/>
      <c r="AY331" s="380"/>
      <c r="AZ331" s="380"/>
      <c r="BA331" s="380"/>
      <c r="BB331" s="380"/>
      <c r="BC331" s="380"/>
      <c r="BD331" s="380"/>
      <c r="BE331" s="380"/>
      <c r="BF331" s="380"/>
      <c r="BG331" s="380"/>
      <c r="BH331" s="380"/>
      <c r="BI331" s="511"/>
      <c r="BJ331" s="380"/>
      <c r="BK331" s="380"/>
      <c r="BL331" s="380"/>
      <c r="BM331" s="380"/>
      <c r="BN331" s="380"/>
      <c r="BO331" s="380"/>
      <c r="BP331" s="380"/>
      <c r="BQ331" s="380"/>
      <c r="BR331" s="380"/>
    </row>
    <row r="332" spans="1:70" ht="12.75" customHeight="1" x14ac:dyDescent="0.25">
      <c r="A332" s="380"/>
      <c r="B332" s="380"/>
      <c r="C332" s="380"/>
      <c r="D332" s="380"/>
      <c r="E332" s="511"/>
      <c r="F332" s="511"/>
      <c r="G332" s="582"/>
      <c r="H332" s="511"/>
      <c r="I332" s="511"/>
      <c r="J332" s="582"/>
      <c r="K332" s="511"/>
      <c r="L332" s="511"/>
      <c r="M332" s="582"/>
      <c r="N332" s="582"/>
      <c r="O332" s="582"/>
      <c r="P332" s="582"/>
      <c r="Q332" s="511"/>
      <c r="R332" s="511"/>
      <c r="S332" s="511"/>
      <c r="T332" s="639"/>
      <c r="U332" s="511"/>
      <c r="V332" s="511"/>
      <c r="W332" s="511"/>
      <c r="X332" s="511"/>
      <c r="Y332" s="380"/>
      <c r="Z332" s="380"/>
      <c r="AA332" s="380"/>
      <c r="AB332" s="380"/>
      <c r="AC332" s="380"/>
      <c r="AD332" s="671"/>
      <c r="AE332" s="380"/>
      <c r="AF332" s="380"/>
      <c r="AG332" s="380"/>
      <c r="AH332" s="671"/>
      <c r="AI332" s="380"/>
      <c r="AJ332" s="583"/>
      <c r="AK332" s="583"/>
      <c r="AL332" s="511"/>
      <c r="AM332" s="584"/>
      <c r="AN332" s="584"/>
      <c r="AO332" s="584"/>
      <c r="AP332" s="671"/>
      <c r="AQ332" s="584"/>
      <c r="AR332" s="583"/>
      <c r="AS332" s="583"/>
      <c r="AT332" s="585"/>
      <c r="AU332" s="585"/>
      <c r="AV332" s="585"/>
      <c r="AW332" s="585"/>
      <c r="AX332" s="673"/>
      <c r="AY332" s="380"/>
      <c r="AZ332" s="380"/>
      <c r="BA332" s="380"/>
      <c r="BB332" s="380"/>
      <c r="BC332" s="380"/>
      <c r="BD332" s="380"/>
      <c r="BE332" s="380"/>
      <c r="BF332" s="380"/>
      <c r="BG332" s="380"/>
      <c r="BH332" s="380"/>
      <c r="BI332" s="511"/>
      <c r="BJ332" s="380"/>
      <c r="BK332" s="380"/>
      <c r="BL332" s="380"/>
      <c r="BM332" s="380"/>
      <c r="BN332" s="380"/>
      <c r="BO332" s="380"/>
      <c r="BP332" s="380"/>
      <c r="BQ332" s="380"/>
      <c r="BR332" s="380"/>
    </row>
    <row r="333" spans="1:70" ht="12.75" customHeight="1" x14ac:dyDescent="0.25">
      <c r="A333" s="380"/>
      <c r="B333" s="380"/>
      <c r="C333" s="380"/>
      <c r="D333" s="380"/>
      <c r="E333" s="511"/>
      <c r="F333" s="511"/>
      <c r="G333" s="582"/>
      <c r="H333" s="511"/>
      <c r="I333" s="511"/>
      <c r="J333" s="582"/>
      <c r="K333" s="511"/>
      <c r="L333" s="511"/>
      <c r="M333" s="582"/>
      <c r="N333" s="582"/>
      <c r="O333" s="582"/>
      <c r="P333" s="582"/>
      <c r="Q333" s="511"/>
      <c r="R333" s="511"/>
      <c r="S333" s="511"/>
      <c r="T333" s="639"/>
      <c r="U333" s="511"/>
      <c r="V333" s="511"/>
      <c r="W333" s="511"/>
      <c r="X333" s="511"/>
      <c r="Y333" s="380"/>
      <c r="Z333" s="380"/>
      <c r="AA333" s="380"/>
      <c r="AB333" s="380"/>
      <c r="AC333" s="380"/>
      <c r="AD333" s="671"/>
      <c r="AE333" s="380"/>
      <c r="AF333" s="380"/>
      <c r="AG333" s="380"/>
      <c r="AH333" s="671"/>
      <c r="AI333" s="380"/>
      <c r="AJ333" s="583"/>
      <c r="AK333" s="583"/>
      <c r="AL333" s="511"/>
      <c r="AM333" s="584"/>
      <c r="AN333" s="584"/>
      <c r="AO333" s="584"/>
      <c r="AP333" s="671"/>
      <c r="AQ333" s="584"/>
      <c r="AR333" s="583"/>
      <c r="AS333" s="583"/>
      <c r="AT333" s="585"/>
      <c r="AU333" s="585"/>
      <c r="AV333" s="585"/>
      <c r="AW333" s="585"/>
      <c r="AX333" s="673"/>
      <c r="AY333" s="380"/>
      <c r="AZ333" s="380"/>
      <c r="BA333" s="380"/>
      <c r="BB333" s="380"/>
      <c r="BC333" s="380"/>
      <c r="BD333" s="380"/>
      <c r="BE333" s="380"/>
      <c r="BF333" s="380"/>
      <c r="BG333" s="380"/>
      <c r="BH333" s="380"/>
      <c r="BI333" s="511"/>
      <c r="BJ333" s="380"/>
      <c r="BK333" s="380"/>
      <c r="BL333" s="380"/>
      <c r="BM333" s="380"/>
      <c r="BN333" s="380"/>
      <c r="BO333" s="380"/>
      <c r="BP333" s="380"/>
      <c r="BQ333" s="380"/>
      <c r="BR333" s="380"/>
    </row>
    <row r="334" spans="1:70" ht="12.75" customHeight="1" x14ac:dyDescent="0.25">
      <c r="A334" s="380"/>
      <c r="B334" s="380"/>
      <c r="C334" s="380"/>
      <c r="D334" s="380"/>
      <c r="E334" s="511"/>
      <c r="F334" s="511"/>
      <c r="G334" s="582"/>
      <c r="H334" s="511"/>
      <c r="I334" s="511"/>
      <c r="J334" s="582"/>
      <c r="K334" s="511"/>
      <c r="L334" s="511"/>
      <c r="M334" s="582"/>
      <c r="N334" s="582"/>
      <c r="O334" s="582"/>
      <c r="P334" s="582"/>
      <c r="Q334" s="511"/>
      <c r="R334" s="511"/>
      <c r="S334" s="511"/>
      <c r="T334" s="639"/>
      <c r="U334" s="511"/>
      <c r="V334" s="511"/>
      <c r="W334" s="511"/>
      <c r="X334" s="511"/>
      <c r="Y334" s="380"/>
      <c r="Z334" s="380"/>
      <c r="AA334" s="380"/>
      <c r="AB334" s="380"/>
      <c r="AC334" s="380"/>
      <c r="AD334" s="671"/>
      <c r="AE334" s="380"/>
      <c r="AF334" s="380"/>
      <c r="AG334" s="380"/>
      <c r="AH334" s="671"/>
      <c r="AI334" s="380"/>
      <c r="AJ334" s="583"/>
      <c r="AK334" s="583"/>
      <c r="AL334" s="511"/>
      <c r="AM334" s="584"/>
      <c r="AN334" s="584"/>
      <c r="AO334" s="584"/>
      <c r="AP334" s="671"/>
      <c r="AQ334" s="584"/>
      <c r="AR334" s="583"/>
      <c r="AS334" s="583"/>
      <c r="AT334" s="585"/>
      <c r="AU334" s="585"/>
      <c r="AV334" s="585"/>
      <c r="AW334" s="585"/>
      <c r="AX334" s="673"/>
      <c r="AY334" s="380"/>
      <c r="AZ334" s="380"/>
      <c r="BA334" s="380"/>
      <c r="BB334" s="380"/>
      <c r="BC334" s="380"/>
      <c r="BD334" s="380"/>
      <c r="BE334" s="380"/>
      <c r="BF334" s="380"/>
      <c r="BG334" s="380"/>
      <c r="BH334" s="380"/>
      <c r="BI334" s="511"/>
      <c r="BJ334" s="380"/>
      <c r="BK334" s="380"/>
      <c r="BL334" s="380"/>
      <c r="BM334" s="380"/>
      <c r="BN334" s="380"/>
      <c r="BO334" s="380"/>
      <c r="BP334" s="380"/>
      <c r="BQ334" s="380"/>
      <c r="BR334" s="380"/>
    </row>
    <row r="335" spans="1:70" ht="12.75" customHeight="1" x14ac:dyDescent="0.25">
      <c r="A335" s="380"/>
      <c r="B335" s="380"/>
      <c r="C335" s="380"/>
      <c r="D335" s="380"/>
      <c r="E335" s="511"/>
      <c r="F335" s="511"/>
      <c r="G335" s="582"/>
      <c r="H335" s="511"/>
      <c r="I335" s="511"/>
      <c r="J335" s="582"/>
      <c r="K335" s="511"/>
      <c r="L335" s="511"/>
      <c r="M335" s="582"/>
      <c r="N335" s="582"/>
      <c r="O335" s="582"/>
      <c r="P335" s="582"/>
      <c r="Q335" s="511"/>
      <c r="R335" s="511"/>
      <c r="S335" s="511"/>
      <c r="T335" s="639"/>
      <c r="U335" s="511"/>
      <c r="V335" s="511"/>
      <c r="W335" s="511"/>
      <c r="X335" s="511"/>
      <c r="Y335" s="380"/>
      <c r="Z335" s="380"/>
      <c r="AA335" s="380"/>
      <c r="AB335" s="380"/>
      <c r="AC335" s="380"/>
      <c r="AD335" s="671"/>
      <c r="AE335" s="380"/>
      <c r="AF335" s="380"/>
      <c r="AG335" s="380"/>
      <c r="AH335" s="671"/>
      <c r="AI335" s="380"/>
      <c r="AJ335" s="583"/>
      <c r="AK335" s="583"/>
      <c r="AL335" s="511"/>
      <c r="AM335" s="584"/>
      <c r="AN335" s="584"/>
      <c r="AO335" s="584"/>
      <c r="AP335" s="671"/>
      <c r="AQ335" s="584"/>
      <c r="AR335" s="583"/>
      <c r="AS335" s="583"/>
      <c r="AT335" s="585"/>
      <c r="AU335" s="585"/>
      <c r="AV335" s="585"/>
      <c r="AW335" s="585"/>
      <c r="AX335" s="673"/>
      <c r="AY335" s="380"/>
      <c r="AZ335" s="380"/>
      <c r="BA335" s="380"/>
      <c r="BB335" s="380"/>
      <c r="BC335" s="380"/>
      <c r="BD335" s="380"/>
      <c r="BE335" s="380"/>
      <c r="BF335" s="380"/>
      <c r="BG335" s="380"/>
      <c r="BH335" s="380"/>
      <c r="BI335" s="511"/>
      <c r="BJ335" s="380"/>
      <c r="BK335" s="380"/>
      <c r="BL335" s="380"/>
      <c r="BM335" s="380"/>
      <c r="BN335" s="380"/>
      <c r="BO335" s="380"/>
      <c r="BP335" s="380"/>
      <c r="BQ335" s="380"/>
      <c r="BR335" s="380"/>
    </row>
    <row r="336" spans="1:70" ht="12.75" customHeight="1" x14ac:dyDescent="0.25">
      <c r="A336" s="380"/>
      <c r="B336" s="380"/>
      <c r="C336" s="380"/>
      <c r="D336" s="380"/>
      <c r="E336" s="511"/>
      <c r="F336" s="511"/>
      <c r="G336" s="582"/>
      <c r="H336" s="511"/>
      <c r="I336" s="511"/>
      <c r="J336" s="582"/>
      <c r="K336" s="511"/>
      <c r="L336" s="511"/>
      <c r="M336" s="582"/>
      <c r="N336" s="582"/>
      <c r="O336" s="582"/>
      <c r="P336" s="582"/>
      <c r="Q336" s="511"/>
      <c r="R336" s="511"/>
      <c r="S336" s="511"/>
      <c r="T336" s="639"/>
      <c r="U336" s="511"/>
      <c r="V336" s="511"/>
      <c r="W336" s="511"/>
      <c r="X336" s="511"/>
      <c r="Y336" s="380"/>
      <c r="Z336" s="380"/>
      <c r="AA336" s="380"/>
      <c r="AB336" s="380"/>
      <c r="AC336" s="380"/>
      <c r="AD336" s="671"/>
      <c r="AE336" s="380"/>
      <c r="AF336" s="380"/>
      <c r="AG336" s="380"/>
      <c r="AH336" s="671"/>
      <c r="AI336" s="380"/>
      <c r="AJ336" s="583"/>
      <c r="AK336" s="583"/>
      <c r="AL336" s="511"/>
      <c r="AM336" s="584"/>
      <c r="AN336" s="584"/>
      <c r="AO336" s="584"/>
      <c r="AP336" s="671"/>
      <c r="AQ336" s="584"/>
      <c r="AR336" s="583"/>
      <c r="AS336" s="583"/>
      <c r="AT336" s="585"/>
      <c r="AU336" s="585"/>
      <c r="AV336" s="585"/>
      <c r="AW336" s="585"/>
      <c r="AX336" s="673"/>
      <c r="AY336" s="380"/>
      <c r="AZ336" s="380"/>
      <c r="BA336" s="380"/>
      <c r="BB336" s="380"/>
      <c r="BC336" s="380"/>
      <c r="BD336" s="380"/>
      <c r="BE336" s="380"/>
      <c r="BF336" s="380"/>
      <c r="BG336" s="380"/>
      <c r="BH336" s="380"/>
      <c r="BI336" s="511"/>
      <c r="BJ336" s="380"/>
      <c r="BK336" s="380"/>
      <c r="BL336" s="380"/>
      <c r="BM336" s="380"/>
      <c r="BN336" s="380"/>
      <c r="BO336" s="380"/>
      <c r="BP336" s="380"/>
      <c r="BQ336" s="380"/>
      <c r="BR336" s="380"/>
    </row>
    <row r="337" spans="1:70" ht="12.75" customHeight="1" x14ac:dyDescent="0.25">
      <c r="A337" s="380"/>
      <c r="B337" s="380"/>
      <c r="C337" s="380"/>
      <c r="D337" s="380"/>
      <c r="E337" s="511"/>
      <c r="F337" s="511"/>
      <c r="G337" s="582"/>
      <c r="H337" s="511"/>
      <c r="I337" s="511"/>
      <c r="J337" s="582"/>
      <c r="K337" s="511"/>
      <c r="L337" s="511"/>
      <c r="M337" s="582"/>
      <c r="N337" s="582"/>
      <c r="O337" s="582"/>
      <c r="P337" s="582"/>
      <c r="Q337" s="511"/>
      <c r="R337" s="511"/>
      <c r="S337" s="511"/>
      <c r="T337" s="639"/>
      <c r="U337" s="511"/>
      <c r="V337" s="511"/>
      <c r="W337" s="511"/>
      <c r="X337" s="511"/>
      <c r="Y337" s="380"/>
      <c r="Z337" s="380"/>
      <c r="AA337" s="380"/>
      <c r="AB337" s="380"/>
      <c r="AC337" s="380"/>
      <c r="AD337" s="671"/>
      <c r="AE337" s="380"/>
      <c r="AF337" s="380"/>
      <c r="AG337" s="380"/>
      <c r="AH337" s="671"/>
      <c r="AI337" s="380"/>
      <c r="AJ337" s="583"/>
      <c r="AK337" s="583"/>
      <c r="AL337" s="511"/>
      <c r="AM337" s="584"/>
      <c r="AN337" s="584"/>
      <c r="AO337" s="584"/>
      <c r="AP337" s="671"/>
      <c r="AQ337" s="584"/>
      <c r="AR337" s="583"/>
      <c r="AS337" s="583"/>
      <c r="AT337" s="585"/>
      <c r="AU337" s="585"/>
      <c r="AV337" s="585"/>
      <c r="AW337" s="585"/>
      <c r="AX337" s="673"/>
      <c r="AY337" s="380"/>
      <c r="AZ337" s="380"/>
      <c r="BA337" s="380"/>
      <c r="BB337" s="380"/>
      <c r="BC337" s="380"/>
      <c r="BD337" s="380"/>
      <c r="BE337" s="380"/>
      <c r="BF337" s="380"/>
      <c r="BG337" s="380"/>
      <c r="BH337" s="380"/>
      <c r="BI337" s="511"/>
      <c r="BJ337" s="380"/>
      <c r="BK337" s="380"/>
      <c r="BL337" s="380"/>
      <c r="BM337" s="380"/>
      <c r="BN337" s="380"/>
      <c r="BO337" s="380"/>
      <c r="BP337" s="380"/>
      <c r="BQ337" s="380"/>
      <c r="BR337" s="380"/>
    </row>
    <row r="338" spans="1:70" ht="12.75" customHeight="1" x14ac:dyDescent="0.25">
      <c r="A338" s="380"/>
      <c r="B338" s="380"/>
      <c r="C338" s="380"/>
      <c r="D338" s="380"/>
      <c r="E338" s="511"/>
      <c r="F338" s="511"/>
      <c r="G338" s="582"/>
      <c r="H338" s="511"/>
      <c r="I338" s="511"/>
      <c r="J338" s="582"/>
      <c r="K338" s="511"/>
      <c r="L338" s="511"/>
      <c r="M338" s="582"/>
      <c r="N338" s="582"/>
      <c r="O338" s="582"/>
      <c r="P338" s="582"/>
      <c r="Q338" s="511"/>
      <c r="R338" s="511"/>
      <c r="S338" s="511"/>
      <c r="T338" s="639"/>
      <c r="U338" s="511"/>
      <c r="V338" s="511"/>
      <c r="W338" s="511"/>
      <c r="X338" s="511"/>
      <c r="Y338" s="380"/>
      <c r="Z338" s="380"/>
      <c r="AA338" s="380"/>
      <c r="AB338" s="380"/>
      <c r="AC338" s="380"/>
      <c r="AD338" s="671"/>
      <c r="AE338" s="380"/>
      <c r="AF338" s="380"/>
      <c r="AG338" s="380"/>
      <c r="AH338" s="671"/>
      <c r="AI338" s="380"/>
      <c r="AJ338" s="583"/>
      <c r="AK338" s="583"/>
      <c r="AL338" s="511"/>
      <c r="AM338" s="584"/>
      <c r="AN338" s="584"/>
      <c r="AO338" s="584"/>
      <c r="AP338" s="671"/>
      <c r="AQ338" s="584"/>
      <c r="AR338" s="583"/>
      <c r="AS338" s="583"/>
      <c r="AT338" s="585"/>
      <c r="AU338" s="585"/>
      <c r="AV338" s="585"/>
      <c r="AW338" s="585"/>
      <c r="AX338" s="673"/>
      <c r="AY338" s="380"/>
      <c r="AZ338" s="380"/>
      <c r="BA338" s="380"/>
      <c r="BB338" s="380"/>
      <c r="BC338" s="380"/>
      <c r="BD338" s="380"/>
      <c r="BE338" s="380"/>
      <c r="BF338" s="380"/>
      <c r="BG338" s="380"/>
      <c r="BH338" s="380"/>
      <c r="BI338" s="511"/>
      <c r="BJ338" s="380"/>
      <c r="BK338" s="380"/>
      <c r="BL338" s="380"/>
      <c r="BM338" s="380"/>
      <c r="BN338" s="380"/>
      <c r="BO338" s="380"/>
      <c r="BP338" s="380"/>
      <c r="BQ338" s="380"/>
      <c r="BR338" s="380"/>
    </row>
    <row r="339" spans="1:70" ht="12.75" customHeight="1" x14ac:dyDescent="0.25">
      <c r="A339" s="380"/>
      <c r="B339" s="380"/>
      <c r="C339" s="380"/>
      <c r="D339" s="380"/>
      <c r="E339" s="511"/>
      <c r="F339" s="511"/>
      <c r="G339" s="582"/>
      <c r="H339" s="511"/>
      <c r="I339" s="511"/>
      <c r="J339" s="582"/>
      <c r="K339" s="511"/>
      <c r="L339" s="511"/>
      <c r="M339" s="582"/>
      <c r="N339" s="582"/>
      <c r="O339" s="582"/>
      <c r="P339" s="582"/>
      <c r="Q339" s="511"/>
      <c r="R339" s="511"/>
      <c r="S339" s="511"/>
      <c r="T339" s="639"/>
      <c r="U339" s="511"/>
      <c r="V339" s="511"/>
      <c r="W339" s="511"/>
      <c r="X339" s="511"/>
      <c r="Y339" s="380"/>
      <c r="Z339" s="380"/>
      <c r="AA339" s="380"/>
      <c r="AB339" s="380"/>
      <c r="AC339" s="380"/>
      <c r="AD339" s="671"/>
      <c r="AE339" s="380"/>
      <c r="AF339" s="380"/>
      <c r="AG339" s="380"/>
      <c r="AH339" s="671"/>
      <c r="AI339" s="380"/>
      <c r="AJ339" s="583"/>
      <c r="AK339" s="583"/>
      <c r="AL339" s="511"/>
      <c r="AM339" s="584"/>
      <c r="AN339" s="584"/>
      <c r="AO339" s="584"/>
      <c r="AP339" s="671"/>
      <c r="AQ339" s="584"/>
      <c r="AR339" s="583"/>
      <c r="AS339" s="583"/>
      <c r="AT339" s="585"/>
      <c r="AU339" s="585"/>
      <c r="AV339" s="585"/>
      <c r="AW339" s="585"/>
      <c r="AX339" s="673"/>
      <c r="AY339" s="380"/>
      <c r="AZ339" s="380"/>
      <c r="BA339" s="380"/>
      <c r="BB339" s="380"/>
      <c r="BC339" s="380"/>
      <c r="BD339" s="380"/>
      <c r="BE339" s="380"/>
      <c r="BF339" s="380"/>
      <c r="BG339" s="380"/>
      <c r="BH339" s="380"/>
      <c r="BI339" s="511"/>
      <c r="BJ339" s="380"/>
      <c r="BK339" s="380"/>
      <c r="BL339" s="380"/>
      <c r="BM339" s="380"/>
      <c r="BN339" s="380"/>
      <c r="BO339" s="380"/>
      <c r="BP339" s="380"/>
      <c r="BQ339" s="380"/>
      <c r="BR339" s="380"/>
    </row>
    <row r="340" spans="1:70" ht="12.75" customHeight="1" x14ac:dyDescent="0.25">
      <c r="A340" s="380"/>
      <c r="B340" s="380"/>
      <c r="C340" s="380"/>
      <c r="D340" s="380"/>
      <c r="E340" s="511"/>
      <c r="F340" s="511"/>
      <c r="G340" s="582"/>
      <c r="H340" s="511"/>
      <c r="I340" s="511"/>
      <c r="J340" s="582"/>
      <c r="K340" s="511"/>
      <c r="L340" s="511"/>
      <c r="M340" s="582"/>
      <c r="N340" s="582"/>
      <c r="O340" s="582"/>
      <c r="P340" s="582"/>
      <c r="Q340" s="511"/>
      <c r="R340" s="511"/>
      <c r="S340" s="511"/>
      <c r="T340" s="639"/>
      <c r="U340" s="511"/>
      <c r="V340" s="511"/>
      <c r="W340" s="511"/>
      <c r="X340" s="511"/>
      <c r="Y340" s="380"/>
      <c r="Z340" s="380"/>
      <c r="AA340" s="380"/>
      <c r="AB340" s="380"/>
      <c r="AC340" s="380"/>
      <c r="AD340" s="671"/>
      <c r="AE340" s="380"/>
      <c r="AF340" s="380"/>
      <c r="AG340" s="380"/>
      <c r="AH340" s="671"/>
      <c r="AI340" s="380"/>
      <c r="AJ340" s="583"/>
      <c r="AK340" s="583"/>
      <c r="AL340" s="511"/>
      <c r="AM340" s="584"/>
      <c r="AN340" s="584"/>
      <c r="AO340" s="584"/>
      <c r="AP340" s="671"/>
      <c r="AQ340" s="584"/>
      <c r="AR340" s="583"/>
      <c r="AS340" s="583"/>
      <c r="AT340" s="585"/>
      <c r="AU340" s="585"/>
      <c r="AV340" s="585"/>
      <c r="AW340" s="585"/>
      <c r="AX340" s="673"/>
      <c r="AY340" s="380"/>
      <c r="AZ340" s="380"/>
      <c r="BA340" s="380"/>
      <c r="BB340" s="380"/>
      <c r="BC340" s="380"/>
      <c r="BD340" s="380"/>
      <c r="BE340" s="380"/>
      <c r="BF340" s="380"/>
      <c r="BG340" s="380"/>
      <c r="BH340" s="380"/>
      <c r="BI340" s="511"/>
      <c r="BJ340" s="380"/>
      <c r="BK340" s="380"/>
      <c r="BL340" s="380"/>
      <c r="BM340" s="380"/>
      <c r="BN340" s="380"/>
      <c r="BO340" s="380"/>
      <c r="BP340" s="380"/>
      <c r="BQ340" s="380"/>
      <c r="BR340" s="380"/>
    </row>
    <row r="341" spans="1:70" ht="12.75" customHeight="1" x14ac:dyDescent="0.25">
      <c r="A341" s="380"/>
      <c r="B341" s="380"/>
      <c r="C341" s="380"/>
      <c r="D341" s="380"/>
      <c r="E341" s="511"/>
      <c r="F341" s="511"/>
      <c r="G341" s="582"/>
      <c r="H341" s="511"/>
      <c r="I341" s="511"/>
      <c r="J341" s="582"/>
      <c r="K341" s="511"/>
      <c r="L341" s="511"/>
      <c r="M341" s="582"/>
      <c r="N341" s="582"/>
      <c r="O341" s="582"/>
      <c r="P341" s="582"/>
      <c r="Q341" s="511"/>
      <c r="R341" s="511"/>
      <c r="S341" s="511"/>
      <c r="T341" s="639"/>
      <c r="U341" s="511"/>
      <c r="V341" s="511"/>
      <c r="W341" s="511"/>
      <c r="X341" s="511"/>
      <c r="Y341" s="380"/>
      <c r="Z341" s="380"/>
      <c r="AA341" s="380"/>
      <c r="AB341" s="380"/>
      <c r="AC341" s="380"/>
      <c r="AD341" s="671"/>
      <c r="AE341" s="380"/>
      <c r="AF341" s="380"/>
      <c r="AG341" s="380"/>
      <c r="AH341" s="671"/>
      <c r="AI341" s="380"/>
      <c r="AJ341" s="583"/>
      <c r="AK341" s="583"/>
      <c r="AL341" s="511"/>
      <c r="AM341" s="584"/>
      <c r="AN341" s="584"/>
      <c r="AO341" s="584"/>
      <c r="AP341" s="671"/>
      <c r="AQ341" s="584"/>
      <c r="AR341" s="583"/>
      <c r="AS341" s="583"/>
      <c r="AT341" s="585"/>
      <c r="AU341" s="585"/>
      <c r="AV341" s="585"/>
      <c r="AW341" s="585"/>
      <c r="AX341" s="673"/>
      <c r="AY341" s="380"/>
      <c r="AZ341" s="380"/>
      <c r="BA341" s="380"/>
      <c r="BB341" s="380"/>
      <c r="BC341" s="380"/>
      <c r="BD341" s="380"/>
      <c r="BE341" s="380"/>
      <c r="BF341" s="380"/>
      <c r="BG341" s="380"/>
      <c r="BH341" s="380"/>
      <c r="BI341" s="511"/>
      <c r="BJ341" s="380"/>
      <c r="BK341" s="380"/>
      <c r="BL341" s="380"/>
      <c r="BM341" s="380"/>
      <c r="BN341" s="380"/>
      <c r="BO341" s="380"/>
      <c r="BP341" s="380"/>
      <c r="BQ341" s="380"/>
      <c r="BR341" s="380"/>
    </row>
    <row r="342" spans="1:70" ht="12.75" customHeight="1" x14ac:dyDescent="0.25">
      <c r="A342" s="380"/>
      <c r="B342" s="380"/>
      <c r="C342" s="380"/>
      <c r="D342" s="380"/>
      <c r="E342" s="511"/>
      <c r="F342" s="511"/>
      <c r="G342" s="582"/>
      <c r="H342" s="511"/>
      <c r="I342" s="511"/>
      <c r="J342" s="582"/>
      <c r="K342" s="511"/>
      <c r="L342" s="511"/>
      <c r="M342" s="582"/>
      <c r="N342" s="582"/>
      <c r="O342" s="582"/>
      <c r="P342" s="582"/>
      <c r="Q342" s="511"/>
      <c r="R342" s="511"/>
      <c r="S342" s="511"/>
      <c r="T342" s="639"/>
      <c r="U342" s="511"/>
      <c r="V342" s="511"/>
      <c r="W342" s="511"/>
      <c r="X342" s="511"/>
      <c r="Y342" s="380"/>
      <c r="Z342" s="380"/>
      <c r="AA342" s="380"/>
      <c r="AB342" s="380"/>
      <c r="AC342" s="380"/>
      <c r="AD342" s="671"/>
      <c r="AE342" s="380"/>
      <c r="AF342" s="380"/>
      <c r="AG342" s="380"/>
      <c r="AH342" s="671"/>
      <c r="AI342" s="380"/>
      <c r="AJ342" s="583"/>
      <c r="AK342" s="583"/>
      <c r="AL342" s="511"/>
      <c r="AM342" s="584"/>
      <c r="AN342" s="584"/>
      <c r="AO342" s="584"/>
      <c r="AP342" s="671"/>
      <c r="AQ342" s="584"/>
      <c r="AR342" s="583"/>
      <c r="AS342" s="583"/>
      <c r="AT342" s="585"/>
      <c r="AU342" s="585"/>
      <c r="AV342" s="585"/>
      <c r="AW342" s="585"/>
      <c r="AX342" s="673"/>
      <c r="AY342" s="380"/>
      <c r="AZ342" s="380"/>
      <c r="BA342" s="380"/>
      <c r="BB342" s="380"/>
      <c r="BC342" s="380"/>
      <c r="BD342" s="380"/>
      <c r="BE342" s="380"/>
      <c r="BF342" s="380"/>
      <c r="BG342" s="380"/>
      <c r="BH342" s="380"/>
      <c r="BI342" s="511"/>
      <c r="BJ342" s="380"/>
      <c r="BK342" s="380"/>
      <c r="BL342" s="380"/>
      <c r="BM342" s="380"/>
      <c r="BN342" s="380"/>
      <c r="BO342" s="380"/>
      <c r="BP342" s="380"/>
      <c r="BQ342" s="380"/>
      <c r="BR342" s="380"/>
    </row>
    <row r="343" spans="1:70" ht="12.75" customHeight="1" x14ac:dyDescent="0.25">
      <c r="A343" s="380"/>
      <c r="B343" s="380"/>
      <c r="C343" s="380"/>
      <c r="D343" s="380"/>
      <c r="E343" s="511"/>
      <c r="F343" s="511"/>
      <c r="G343" s="582"/>
      <c r="H343" s="511"/>
      <c r="I343" s="511"/>
      <c r="J343" s="582"/>
      <c r="K343" s="511"/>
      <c r="L343" s="511"/>
      <c r="M343" s="582"/>
      <c r="N343" s="582"/>
      <c r="O343" s="582"/>
      <c r="P343" s="582"/>
      <c r="Q343" s="511"/>
      <c r="R343" s="511"/>
      <c r="S343" s="511"/>
      <c r="T343" s="639"/>
      <c r="U343" s="511"/>
      <c r="V343" s="511"/>
      <c r="W343" s="511"/>
      <c r="X343" s="511"/>
      <c r="Y343" s="380"/>
      <c r="Z343" s="380"/>
      <c r="AA343" s="380"/>
      <c r="AB343" s="380"/>
      <c r="AC343" s="380"/>
      <c r="AD343" s="671"/>
      <c r="AE343" s="380"/>
      <c r="AF343" s="380"/>
      <c r="AG343" s="380"/>
      <c r="AH343" s="671"/>
      <c r="AI343" s="380"/>
      <c r="AJ343" s="583"/>
      <c r="AK343" s="583"/>
      <c r="AL343" s="511"/>
      <c r="AM343" s="584"/>
      <c r="AN343" s="584"/>
      <c r="AO343" s="584"/>
      <c r="AP343" s="671"/>
      <c r="AQ343" s="584"/>
      <c r="AR343" s="583"/>
      <c r="AS343" s="583"/>
      <c r="AT343" s="585"/>
      <c r="AU343" s="585"/>
      <c r="AV343" s="585"/>
      <c r="AW343" s="585"/>
      <c r="AX343" s="673"/>
      <c r="AY343" s="380"/>
      <c r="AZ343" s="380"/>
      <c r="BA343" s="380"/>
      <c r="BB343" s="380"/>
      <c r="BC343" s="380"/>
      <c r="BD343" s="380"/>
      <c r="BE343" s="380"/>
      <c r="BF343" s="380"/>
      <c r="BG343" s="380"/>
      <c r="BH343" s="380"/>
      <c r="BI343" s="511"/>
      <c r="BJ343" s="380"/>
      <c r="BK343" s="380"/>
      <c r="BL343" s="380"/>
      <c r="BM343" s="380"/>
      <c r="BN343" s="380"/>
      <c r="BO343" s="380"/>
      <c r="BP343" s="380"/>
      <c r="BQ343" s="380"/>
      <c r="BR343" s="380"/>
    </row>
    <row r="344" spans="1:70" ht="12.75" customHeight="1" x14ac:dyDescent="0.25">
      <c r="A344" s="380"/>
      <c r="B344" s="380"/>
      <c r="C344" s="380"/>
      <c r="D344" s="380"/>
      <c r="E344" s="511"/>
      <c r="F344" s="511"/>
      <c r="G344" s="582"/>
      <c r="H344" s="511"/>
      <c r="I344" s="511"/>
      <c r="J344" s="582"/>
      <c r="K344" s="511"/>
      <c r="L344" s="511"/>
      <c r="M344" s="582"/>
      <c r="N344" s="582"/>
      <c r="O344" s="582"/>
      <c r="P344" s="582"/>
      <c r="Q344" s="511"/>
      <c r="R344" s="511"/>
      <c r="S344" s="511"/>
      <c r="T344" s="639"/>
      <c r="U344" s="511"/>
      <c r="V344" s="511"/>
      <c r="W344" s="511"/>
      <c r="X344" s="511"/>
      <c r="Y344" s="380"/>
      <c r="Z344" s="380"/>
      <c r="AA344" s="380"/>
      <c r="AB344" s="380"/>
      <c r="AC344" s="380"/>
      <c r="AD344" s="671"/>
      <c r="AE344" s="380"/>
      <c r="AF344" s="380"/>
      <c r="AG344" s="380"/>
      <c r="AH344" s="671"/>
      <c r="AI344" s="380"/>
      <c r="AJ344" s="583"/>
      <c r="AK344" s="583"/>
      <c r="AL344" s="511"/>
      <c r="AM344" s="584"/>
      <c r="AN344" s="584"/>
      <c r="AO344" s="584"/>
      <c r="AP344" s="671"/>
      <c r="AQ344" s="584"/>
      <c r="AR344" s="583"/>
      <c r="AS344" s="583"/>
      <c r="AT344" s="585"/>
      <c r="AU344" s="585"/>
      <c r="AV344" s="585"/>
      <c r="AW344" s="585"/>
      <c r="AX344" s="673"/>
      <c r="AY344" s="380"/>
      <c r="AZ344" s="380"/>
      <c r="BA344" s="380"/>
      <c r="BB344" s="380"/>
      <c r="BC344" s="380"/>
      <c r="BD344" s="380"/>
      <c r="BE344" s="380"/>
      <c r="BF344" s="380"/>
      <c r="BG344" s="380"/>
      <c r="BH344" s="380"/>
      <c r="BI344" s="511"/>
      <c r="BJ344" s="380"/>
      <c r="BK344" s="380"/>
      <c r="BL344" s="380"/>
      <c r="BM344" s="380"/>
      <c r="BN344" s="380"/>
      <c r="BO344" s="380"/>
      <c r="BP344" s="380"/>
      <c r="BQ344" s="380"/>
      <c r="BR344" s="380"/>
    </row>
    <row r="345" spans="1:70" ht="12.75" customHeight="1" x14ac:dyDescent="0.25">
      <c r="A345" s="380"/>
      <c r="B345" s="380"/>
      <c r="C345" s="380"/>
      <c r="D345" s="380"/>
      <c r="E345" s="511"/>
      <c r="F345" s="511"/>
      <c r="G345" s="582"/>
      <c r="H345" s="511"/>
      <c r="I345" s="511"/>
      <c r="J345" s="582"/>
      <c r="K345" s="511"/>
      <c r="L345" s="511"/>
      <c r="M345" s="582"/>
      <c r="N345" s="582"/>
      <c r="O345" s="582"/>
      <c r="P345" s="582"/>
      <c r="Q345" s="511"/>
      <c r="R345" s="511"/>
      <c r="S345" s="511"/>
      <c r="T345" s="639"/>
      <c r="U345" s="511"/>
      <c r="V345" s="511"/>
      <c r="W345" s="511"/>
      <c r="X345" s="511"/>
      <c r="Y345" s="380"/>
      <c r="Z345" s="380"/>
      <c r="AA345" s="380"/>
      <c r="AB345" s="380"/>
      <c r="AC345" s="380"/>
      <c r="AD345" s="671"/>
      <c r="AE345" s="380"/>
      <c r="AF345" s="380"/>
      <c r="AG345" s="380"/>
      <c r="AH345" s="671"/>
      <c r="AI345" s="380"/>
      <c r="AJ345" s="583"/>
      <c r="AK345" s="583"/>
      <c r="AL345" s="511"/>
      <c r="AM345" s="584"/>
      <c r="AN345" s="584"/>
      <c r="AO345" s="584"/>
      <c r="AP345" s="671"/>
      <c r="AQ345" s="584"/>
      <c r="AR345" s="583"/>
      <c r="AS345" s="583"/>
      <c r="AT345" s="585"/>
      <c r="AU345" s="585"/>
      <c r="AV345" s="585"/>
      <c r="AW345" s="585"/>
      <c r="AX345" s="673"/>
      <c r="AY345" s="380"/>
      <c r="AZ345" s="380"/>
      <c r="BA345" s="380"/>
      <c r="BB345" s="380"/>
      <c r="BC345" s="380"/>
      <c r="BD345" s="380"/>
      <c r="BE345" s="380"/>
      <c r="BF345" s="380"/>
      <c r="BG345" s="380"/>
      <c r="BH345" s="380"/>
      <c r="BI345" s="511"/>
      <c r="BJ345" s="380"/>
      <c r="BK345" s="380"/>
      <c r="BL345" s="380"/>
      <c r="BM345" s="380"/>
      <c r="BN345" s="380"/>
      <c r="BO345" s="380"/>
      <c r="BP345" s="380"/>
      <c r="BQ345" s="380"/>
      <c r="BR345" s="380"/>
    </row>
    <row r="346" spans="1:70" ht="12.75" customHeight="1" x14ac:dyDescent="0.25">
      <c r="A346" s="380"/>
      <c r="B346" s="380"/>
      <c r="C346" s="380"/>
      <c r="D346" s="380"/>
      <c r="E346" s="511"/>
      <c r="F346" s="511"/>
      <c r="G346" s="582"/>
      <c r="H346" s="511"/>
      <c r="I346" s="511"/>
      <c r="J346" s="582"/>
      <c r="K346" s="511"/>
      <c r="L346" s="511"/>
      <c r="M346" s="582"/>
      <c r="N346" s="582"/>
      <c r="O346" s="582"/>
      <c r="P346" s="582"/>
      <c r="Q346" s="511"/>
      <c r="R346" s="511"/>
      <c r="S346" s="511"/>
      <c r="T346" s="639"/>
      <c r="U346" s="511"/>
      <c r="V346" s="511"/>
      <c r="W346" s="511"/>
      <c r="X346" s="511"/>
      <c r="Y346" s="380"/>
      <c r="Z346" s="380"/>
      <c r="AA346" s="380"/>
      <c r="AB346" s="380"/>
      <c r="AC346" s="380"/>
      <c r="AD346" s="671"/>
      <c r="AE346" s="380"/>
      <c r="AF346" s="380"/>
      <c r="AG346" s="380"/>
      <c r="AH346" s="671"/>
      <c r="AI346" s="380"/>
      <c r="AJ346" s="583"/>
      <c r="AK346" s="583"/>
      <c r="AL346" s="511"/>
      <c r="AM346" s="584"/>
      <c r="AN346" s="584"/>
      <c r="AO346" s="584"/>
      <c r="AP346" s="671"/>
      <c r="AQ346" s="584"/>
      <c r="AR346" s="583"/>
      <c r="AS346" s="583"/>
      <c r="AT346" s="585"/>
      <c r="AU346" s="585"/>
      <c r="AV346" s="585"/>
      <c r="AW346" s="585"/>
      <c r="AX346" s="673"/>
      <c r="AY346" s="380"/>
      <c r="AZ346" s="380"/>
      <c r="BA346" s="380"/>
      <c r="BB346" s="380"/>
      <c r="BC346" s="380"/>
      <c r="BD346" s="380"/>
      <c r="BE346" s="380"/>
      <c r="BF346" s="380"/>
      <c r="BG346" s="380"/>
      <c r="BH346" s="380"/>
      <c r="BI346" s="511"/>
      <c r="BJ346" s="380"/>
      <c r="BK346" s="380"/>
      <c r="BL346" s="380"/>
      <c r="BM346" s="380"/>
      <c r="BN346" s="380"/>
      <c r="BO346" s="380"/>
      <c r="BP346" s="380"/>
      <c r="BQ346" s="380"/>
      <c r="BR346" s="380"/>
    </row>
    <row r="347" spans="1:70" ht="12.75" customHeight="1" x14ac:dyDescent="0.25">
      <c r="A347" s="380"/>
      <c r="B347" s="380"/>
      <c r="C347" s="380"/>
      <c r="D347" s="380"/>
      <c r="E347" s="511"/>
      <c r="F347" s="511"/>
      <c r="G347" s="582"/>
      <c r="H347" s="511"/>
      <c r="I347" s="511"/>
      <c r="J347" s="582"/>
      <c r="K347" s="511"/>
      <c r="L347" s="511"/>
      <c r="M347" s="582"/>
      <c r="N347" s="582"/>
      <c r="O347" s="582"/>
      <c r="P347" s="582"/>
      <c r="Q347" s="511"/>
      <c r="R347" s="511"/>
      <c r="S347" s="511"/>
      <c r="T347" s="639"/>
      <c r="U347" s="511"/>
      <c r="V347" s="511"/>
      <c r="W347" s="511"/>
      <c r="X347" s="511"/>
      <c r="Y347" s="380"/>
      <c r="Z347" s="380"/>
      <c r="AA347" s="380"/>
      <c r="AB347" s="380"/>
      <c r="AC347" s="380"/>
      <c r="AD347" s="671"/>
      <c r="AE347" s="380"/>
      <c r="AF347" s="380"/>
      <c r="AG347" s="380"/>
      <c r="AH347" s="671"/>
      <c r="AI347" s="380"/>
      <c r="AJ347" s="583"/>
      <c r="AK347" s="583"/>
      <c r="AL347" s="511"/>
      <c r="AM347" s="584"/>
      <c r="AN347" s="584"/>
      <c r="AO347" s="584"/>
      <c r="AP347" s="671"/>
      <c r="AQ347" s="584"/>
      <c r="AR347" s="583"/>
      <c r="AS347" s="583"/>
      <c r="AT347" s="585"/>
      <c r="AU347" s="585"/>
      <c r="AV347" s="585"/>
      <c r="AW347" s="585"/>
      <c r="AX347" s="673"/>
      <c r="AY347" s="380"/>
      <c r="AZ347" s="380"/>
      <c r="BA347" s="380"/>
      <c r="BB347" s="380"/>
      <c r="BC347" s="380"/>
      <c r="BD347" s="380"/>
      <c r="BE347" s="380"/>
      <c r="BF347" s="380"/>
      <c r="BG347" s="380"/>
      <c r="BH347" s="380"/>
      <c r="BI347" s="511"/>
      <c r="BJ347" s="380"/>
      <c r="BK347" s="380"/>
      <c r="BL347" s="380"/>
      <c r="BM347" s="380"/>
      <c r="BN347" s="380"/>
      <c r="BO347" s="380"/>
      <c r="BP347" s="380"/>
      <c r="BQ347" s="380"/>
      <c r="BR347" s="380"/>
    </row>
    <row r="348" spans="1:70" ht="12.75" customHeight="1" x14ac:dyDescent="0.25">
      <c r="A348" s="380"/>
      <c r="B348" s="380"/>
      <c r="C348" s="380"/>
      <c r="D348" s="380"/>
      <c r="E348" s="511"/>
      <c r="F348" s="511"/>
      <c r="G348" s="582"/>
      <c r="H348" s="511"/>
      <c r="I348" s="511"/>
      <c r="J348" s="582"/>
      <c r="K348" s="511"/>
      <c r="L348" s="511"/>
      <c r="M348" s="582"/>
      <c r="N348" s="582"/>
      <c r="O348" s="582"/>
      <c r="P348" s="582"/>
      <c r="Q348" s="511"/>
      <c r="R348" s="511"/>
      <c r="S348" s="511"/>
      <c r="T348" s="639"/>
      <c r="U348" s="511"/>
      <c r="V348" s="511"/>
      <c r="W348" s="511"/>
      <c r="X348" s="511"/>
      <c r="Y348" s="380"/>
      <c r="Z348" s="380"/>
      <c r="AA348" s="380"/>
      <c r="AB348" s="380"/>
      <c r="AC348" s="380"/>
      <c r="AD348" s="671"/>
      <c r="AE348" s="380"/>
      <c r="AF348" s="380"/>
      <c r="AG348" s="380"/>
      <c r="AH348" s="671"/>
      <c r="AI348" s="380"/>
      <c r="AJ348" s="583"/>
      <c r="AK348" s="583"/>
      <c r="AL348" s="511"/>
      <c r="AM348" s="584"/>
      <c r="AN348" s="584"/>
      <c r="AO348" s="584"/>
      <c r="AP348" s="671"/>
      <c r="AQ348" s="584"/>
      <c r="AR348" s="583"/>
      <c r="AS348" s="583"/>
      <c r="AT348" s="585"/>
      <c r="AU348" s="585"/>
      <c r="AV348" s="585"/>
      <c r="AW348" s="585"/>
      <c r="AX348" s="673"/>
      <c r="AY348" s="380"/>
      <c r="AZ348" s="380"/>
      <c r="BA348" s="380"/>
      <c r="BB348" s="380"/>
      <c r="BC348" s="380"/>
      <c r="BD348" s="380"/>
      <c r="BE348" s="380"/>
      <c r="BF348" s="380"/>
      <c r="BG348" s="380"/>
      <c r="BH348" s="380"/>
      <c r="BI348" s="511"/>
      <c r="BJ348" s="380"/>
      <c r="BK348" s="380"/>
      <c r="BL348" s="380"/>
      <c r="BM348" s="380"/>
      <c r="BN348" s="380"/>
      <c r="BO348" s="380"/>
      <c r="BP348" s="380"/>
      <c r="BQ348" s="380"/>
      <c r="BR348" s="380"/>
    </row>
    <row r="349" spans="1:70" ht="12.75" customHeight="1" x14ac:dyDescent="0.25">
      <c r="A349" s="380"/>
      <c r="B349" s="380"/>
      <c r="C349" s="380"/>
      <c r="D349" s="380"/>
      <c r="E349" s="511"/>
      <c r="F349" s="511"/>
      <c r="G349" s="582"/>
      <c r="H349" s="511"/>
      <c r="I349" s="511"/>
      <c r="J349" s="582"/>
      <c r="K349" s="511"/>
      <c r="L349" s="511"/>
      <c r="M349" s="582"/>
      <c r="N349" s="582"/>
      <c r="O349" s="582"/>
      <c r="P349" s="582"/>
      <c r="Q349" s="511"/>
      <c r="R349" s="511"/>
      <c r="S349" s="511"/>
      <c r="T349" s="639"/>
      <c r="U349" s="511"/>
      <c r="V349" s="511"/>
      <c r="W349" s="511"/>
      <c r="X349" s="511"/>
      <c r="Y349" s="380"/>
      <c r="Z349" s="380"/>
      <c r="AA349" s="380"/>
      <c r="AB349" s="380"/>
      <c r="AC349" s="380"/>
      <c r="AD349" s="671"/>
      <c r="AE349" s="380"/>
      <c r="AF349" s="380"/>
      <c r="AG349" s="380"/>
      <c r="AH349" s="671"/>
      <c r="AI349" s="380"/>
      <c r="AJ349" s="583"/>
      <c r="AK349" s="583"/>
      <c r="AL349" s="511"/>
      <c r="AM349" s="584"/>
      <c r="AN349" s="584"/>
      <c r="AO349" s="584"/>
      <c r="AP349" s="671"/>
      <c r="AQ349" s="584"/>
      <c r="AR349" s="583"/>
      <c r="AS349" s="583"/>
      <c r="AT349" s="585"/>
      <c r="AU349" s="585"/>
      <c r="AV349" s="585"/>
      <c r="AW349" s="585"/>
      <c r="AX349" s="673"/>
      <c r="AY349" s="380"/>
      <c r="AZ349" s="380"/>
      <c r="BA349" s="380"/>
      <c r="BB349" s="380"/>
      <c r="BC349" s="380"/>
      <c r="BD349" s="380"/>
      <c r="BE349" s="380"/>
      <c r="BF349" s="380"/>
      <c r="BG349" s="380"/>
      <c r="BH349" s="380"/>
      <c r="BI349" s="511"/>
      <c r="BJ349" s="380"/>
      <c r="BK349" s="380"/>
      <c r="BL349" s="380"/>
      <c r="BM349" s="380"/>
      <c r="BN349" s="380"/>
      <c r="BO349" s="380"/>
      <c r="BP349" s="380"/>
      <c r="BQ349" s="380"/>
      <c r="BR349" s="380"/>
    </row>
    <row r="350" spans="1:70" ht="12.75" customHeight="1" x14ac:dyDescent="0.25">
      <c r="A350" s="380"/>
      <c r="B350" s="380"/>
      <c r="C350" s="380"/>
      <c r="D350" s="380"/>
      <c r="E350" s="511"/>
      <c r="F350" s="511"/>
      <c r="G350" s="582"/>
      <c r="H350" s="511"/>
      <c r="I350" s="511"/>
      <c r="J350" s="582"/>
      <c r="K350" s="511"/>
      <c r="L350" s="511"/>
      <c r="M350" s="582"/>
      <c r="N350" s="582"/>
      <c r="O350" s="582"/>
      <c r="P350" s="582"/>
      <c r="Q350" s="511"/>
      <c r="R350" s="511"/>
      <c r="S350" s="511"/>
      <c r="T350" s="639"/>
      <c r="U350" s="511"/>
      <c r="V350" s="511"/>
      <c r="W350" s="511"/>
      <c r="X350" s="511"/>
      <c r="Y350" s="380"/>
      <c r="Z350" s="380"/>
      <c r="AA350" s="380"/>
      <c r="AB350" s="380"/>
      <c r="AC350" s="380"/>
      <c r="AD350" s="671"/>
      <c r="AE350" s="380"/>
      <c r="AF350" s="380"/>
      <c r="AG350" s="380"/>
      <c r="AH350" s="671"/>
      <c r="AI350" s="380"/>
      <c r="AJ350" s="583"/>
      <c r="AK350" s="583"/>
      <c r="AL350" s="511"/>
      <c r="AM350" s="584"/>
      <c r="AN350" s="584"/>
      <c r="AO350" s="584"/>
      <c r="AP350" s="671"/>
      <c r="AQ350" s="584"/>
      <c r="AR350" s="583"/>
      <c r="AS350" s="583"/>
      <c r="AT350" s="585"/>
      <c r="AU350" s="585"/>
      <c r="AV350" s="585"/>
      <c r="AW350" s="585"/>
      <c r="AX350" s="673"/>
      <c r="AY350" s="380"/>
      <c r="AZ350" s="380"/>
      <c r="BA350" s="380"/>
      <c r="BB350" s="380"/>
      <c r="BC350" s="380"/>
      <c r="BD350" s="380"/>
      <c r="BE350" s="380"/>
      <c r="BF350" s="380"/>
      <c r="BG350" s="380"/>
      <c r="BH350" s="380"/>
      <c r="BI350" s="511"/>
      <c r="BJ350" s="380"/>
      <c r="BK350" s="380"/>
      <c r="BL350" s="380"/>
      <c r="BM350" s="380"/>
      <c r="BN350" s="380"/>
      <c r="BO350" s="380"/>
      <c r="BP350" s="380"/>
      <c r="BQ350" s="380"/>
      <c r="BR350" s="380"/>
    </row>
    <row r="351" spans="1:70" ht="12.75" customHeight="1" x14ac:dyDescent="0.25">
      <c r="A351" s="380"/>
      <c r="B351" s="380"/>
      <c r="C351" s="380"/>
      <c r="D351" s="380"/>
      <c r="E351" s="511"/>
      <c r="F351" s="511"/>
      <c r="G351" s="582"/>
      <c r="H351" s="511"/>
      <c r="I351" s="511"/>
      <c r="J351" s="582"/>
      <c r="K351" s="511"/>
      <c r="L351" s="511"/>
      <c r="M351" s="582"/>
      <c r="N351" s="582"/>
      <c r="O351" s="582"/>
      <c r="P351" s="582"/>
      <c r="Q351" s="511"/>
      <c r="R351" s="511"/>
      <c r="S351" s="511"/>
      <c r="T351" s="639"/>
      <c r="U351" s="511"/>
      <c r="V351" s="511"/>
      <c r="W351" s="511"/>
      <c r="X351" s="511"/>
      <c r="Y351" s="380"/>
      <c r="Z351" s="380"/>
      <c r="AA351" s="380"/>
      <c r="AB351" s="380"/>
      <c r="AC351" s="380"/>
      <c r="AD351" s="671"/>
      <c r="AE351" s="380"/>
      <c r="AF351" s="380"/>
      <c r="AG351" s="380"/>
      <c r="AH351" s="671"/>
      <c r="AI351" s="380"/>
      <c r="AJ351" s="583"/>
      <c r="AK351" s="583"/>
      <c r="AL351" s="511"/>
      <c r="AM351" s="584"/>
      <c r="AN351" s="584"/>
      <c r="AO351" s="584"/>
      <c r="AP351" s="671"/>
      <c r="AQ351" s="584"/>
      <c r="AR351" s="583"/>
      <c r="AS351" s="583"/>
      <c r="AT351" s="585"/>
      <c r="AU351" s="585"/>
      <c r="AV351" s="585"/>
      <c r="AW351" s="585"/>
      <c r="AX351" s="673"/>
      <c r="AY351" s="380"/>
      <c r="AZ351" s="380"/>
      <c r="BA351" s="380"/>
      <c r="BB351" s="380"/>
      <c r="BC351" s="380"/>
      <c r="BD351" s="380"/>
      <c r="BE351" s="380"/>
      <c r="BF351" s="380"/>
      <c r="BG351" s="380"/>
      <c r="BH351" s="380"/>
      <c r="BI351" s="511"/>
      <c r="BJ351" s="380"/>
      <c r="BK351" s="380"/>
      <c r="BL351" s="380"/>
      <c r="BM351" s="380"/>
      <c r="BN351" s="380"/>
      <c r="BO351" s="380"/>
      <c r="BP351" s="380"/>
      <c r="BQ351" s="380"/>
      <c r="BR351" s="380"/>
    </row>
    <row r="352" spans="1:70" ht="12.75" customHeight="1" x14ac:dyDescent="0.25">
      <c r="A352" s="380"/>
      <c r="B352" s="380"/>
      <c r="C352" s="380"/>
      <c r="D352" s="380"/>
      <c r="E352" s="511"/>
      <c r="F352" s="511"/>
      <c r="G352" s="582"/>
      <c r="H352" s="511"/>
      <c r="I352" s="511"/>
      <c r="J352" s="582"/>
      <c r="K352" s="511"/>
      <c r="L352" s="511"/>
      <c r="M352" s="582"/>
      <c r="N352" s="582"/>
      <c r="O352" s="582"/>
      <c r="P352" s="582"/>
      <c r="Q352" s="511"/>
      <c r="R352" s="511"/>
      <c r="S352" s="511"/>
      <c r="T352" s="639"/>
      <c r="U352" s="511"/>
      <c r="V352" s="511"/>
      <c r="W352" s="511"/>
      <c r="X352" s="511"/>
      <c r="Y352" s="380"/>
      <c r="Z352" s="380"/>
      <c r="AA352" s="380"/>
      <c r="AB352" s="380"/>
      <c r="AC352" s="380"/>
      <c r="AD352" s="671"/>
      <c r="AE352" s="380"/>
      <c r="AF352" s="380"/>
      <c r="AG352" s="380"/>
      <c r="AH352" s="671"/>
      <c r="AI352" s="380"/>
      <c r="AJ352" s="583"/>
      <c r="AK352" s="583"/>
      <c r="AL352" s="511"/>
      <c r="AM352" s="584"/>
      <c r="AN352" s="584"/>
      <c r="AO352" s="584"/>
      <c r="AP352" s="671"/>
      <c r="AQ352" s="584"/>
      <c r="AR352" s="583"/>
      <c r="AS352" s="583"/>
      <c r="AT352" s="585"/>
      <c r="AU352" s="585"/>
      <c r="AV352" s="585"/>
      <c r="AW352" s="585"/>
      <c r="AX352" s="673"/>
      <c r="AY352" s="380"/>
      <c r="AZ352" s="380"/>
      <c r="BA352" s="380"/>
      <c r="BB352" s="380"/>
      <c r="BC352" s="380"/>
      <c r="BD352" s="380"/>
      <c r="BE352" s="380"/>
      <c r="BF352" s="380"/>
      <c r="BG352" s="380"/>
      <c r="BH352" s="380"/>
      <c r="BI352" s="511"/>
      <c r="BJ352" s="380"/>
      <c r="BK352" s="380"/>
      <c r="BL352" s="380"/>
      <c r="BM352" s="380"/>
      <c r="BN352" s="380"/>
      <c r="BO352" s="380"/>
      <c r="BP352" s="380"/>
      <c r="BQ352" s="380"/>
      <c r="BR352" s="380"/>
    </row>
    <row r="353" spans="1:70" ht="12.75" customHeight="1" x14ac:dyDescent="0.25">
      <c r="A353" s="380"/>
      <c r="B353" s="380"/>
      <c r="C353" s="380"/>
      <c r="D353" s="380"/>
      <c r="E353" s="511"/>
      <c r="F353" s="511"/>
      <c r="G353" s="582"/>
      <c r="H353" s="511"/>
      <c r="I353" s="511"/>
      <c r="J353" s="582"/>
      <c r="K353" s="511"/>
      <c r="L353" s="511"/>
      <c r="M353" s="582"/>
      <c r="N353" s="582"/>
      <c r="O353" s="582"/>
      <c r="P353" s="582"/>
      <c r="Q353" s="511"/>
      <c r="R353" s="511"/>
      <c r="S353" s="511"/>
      <c r="T353" s="639"/>
      <c r="U353" s="511"/>
      <c r="V353" s="511"/>
      <c r="W353" s="511"/>
      <c r="X353" s="511"/>
      <c r="Y353" s="380"/>
      <c r="Z353" s="380"/>
      <c r="AA353" s="380"/>
      <c r="AB353" s="380"/>
      <c r="AC353" s="380"/>
      <c r="AD353" s="671"/>
      <c r="AE353" s="380"/>
      <c r="AF353" s="380"/>
      <c r="AG353" s="380"/>
      <c r="AH353" s="671"/>
      <c r="AI353" s="380"/>
      <c r="AJ353" s="583"/>
      <c r="AK353" s="583"/>
      <c r="AL353" s="511"/>
      <c r="AM353" s="584"/>
      <c r="AN353" s="584"/>
      <c r="AO353" s="584"/>
      <c r="AP353" s="671"/>
      <c r="AQ353" s="584"/>
      <c r="AR353" s="583"/>
      <c r="AS353" s="583"/>
      <c r="AT353" s="585"/>
      <c r="AU353" s="585"/>
      <c r="AV353" s="585"/>
      <c r="AW353" s="585"/>
      <c r="AX353" s="673"/>
      <c r="AY353" s="380"/>
      <c r="AZ353" s="380"/>
      <c r="BA353" s="380"/>
      <c r="BB353" s="380"/>
      <c r="BC353" s="380"/>
      <c r="BD353" s="380"/>
      <c r="BE353" s="380"/>
      <c r="BF353" s="380"/>
      <c r="BG353" s="380"/>
      <c r="BH353" s="380"/>
      <c r="BI353" s="511"/>
      <c r="BJ353" s="380"/>
      <c r="BK353" s="380"/>
      <c r="BL353" s="380"/>
      <c r="BM353" s="380"/>
      <c r="BN353" s="380"/>
      <c r="BO353" s="380"/>
      <c r="BP353" s="380"/>
      <c r="BQ353" s="380"/>
      <c r="BR353" s="380"/>
    </row>
    <row r="354" spans="1:70" ht="12.75" customHeight="1" x14ac:dyDescent="0.25">
      <c r="A354" s="380"/>
      <c r="B354" s="380"/>
      <c r="C354" s="380"/>
      <c r="D354" s="380"/>
      <c r="E354" s="511"/>
      <c r="F354" s="511"/>
      <c r="G354" s="582"/>
      <c r="H354" s="511"/>
      <c r="I354" s="511"/>
      <c r="J354" s="582"/>
      <c r="K354" s="511"/>
      <c r="L354" s="511"/>
      <c r="M354" s="582"/>
      <c r="N354" s="582"/>
      <c r="O354" s="582"/>
      <c r="P354" s="582"/>
      <c r="Q354" s="511"/>
      <c r="R354" s="511"/>
      <c r="S354" s="511"/>
      <c r="T354" s="639"/>
      <c r="U354" s="511"/>
      <c r="V354" s="511"/>
      <c r="W354" s="511"/>
      <c r="X354" s="511"/>
      <c r="Y354" s="380"/>
      <c r="Z354" s="380"/>
      <c r="AA354" s="380"/>
      <c r="AB354" s="380"/>
      <c r="AC354" s="380"/>
      <c r="AD354" s="671"/>
      <c r="AE354" s="380"/>
      <c r="AF354" s="380"/>
      <c r="AG354" s="380"/>
      <c r="AH354" s="671"/>
      <c r="AI354" s="380"/>
      <c r="AJ354" s="583"/>
      <c r="AK354" s="583"/>
      <c r="AL354" s="511"/>
      <c r="AM354" s="584"/>
      <c r="AN354" s="584"/>
      <c r="AO354" s="584"/>
      <c r="AP354" s="671"/>
      <c r="AQ354" s="584"/>
      <c r="AR354" s="583"/>
      <c r="AS354" s="583"/>
      <c r="AT354" s="585"/>
      <c r="AU354" s="585"/>
      <c r="AV354" s="585"/>
      <c r="AW354" s="585"/>
      <c r="AX354" s="673"/>
      <c r="AY354" s="380"/>
      <c r="AZ354" s="380"/>
      <c r="BA354" s="380"/>
      <c r="BB354" s="380"/>
      <c r="BC354" s="380"/>
      <c r="BD354" s="380"/>
      <c r="BE354" s="380"/>
      <c r="BF354" s="380"/>
      <c r="BG354" s="380"/>
      <c r="BH354" s="380"/>
      <c r="BI354" s="511"/>
      <c r="BJ354" s="380"/>
      <c r="BK354" s="380"/>
      <c r="BL354" s="380"/>
      <c r="BM354" s="380"/>
      <c r="BN354" s="380"/>
      <c r="BO354" s="380"/>
      <c r="BP354" s="380"/>
      <c r="BQ354" s="380"/>
      <c r="BR354" s="380"/>
    </row>
    <row r="355" spans="1:70" ht="12.75" customHeight="1" x14ac:dyDescent="0.25">
      <c r="A355" s="380"/>
      <c r="B355" s="380"/>
      <c r="C355" s="380"/>
      <c r="D355" s="380"/>
      <c r="E355" s="511"/>
      <c r="F355" s="511"/>
      <c r="G355" s="582"/>
      <c r="H355" s="511"/>
      <c r="I355" s="511"/>
      <c r="J355" s="582"/>
      <c r="K355" s="511"/>
      <c r="L355" s="511"/>
      <c r="M355" s="582"/>
      <c r="N355" s="582"/>
      <c r="O355" s="582"/>
      <c r="P355" s="582"/>
      <c r="Q355" s="511"/>
      <c r="R355" s="511"/>
      <c r="S355" s="511"/>
      <c r="T355" s="639"/>
      <c r="U355" s="511"/>
      <c r="V355" s="511"/>
      <c r="W355" s="511"/>
      <c r="X355" s="511"/>
      <c r="Y355" s="380"/>
      <c r="Z355" s="380"/>
      <c r="AA355" s="380"/>
      <c r="AB355" s="380"/>
      <c r="AC355" s="380"/>
      <c r="AD355" s="671"/>
      <c r="AE355" s="380"/>
      <c r="AF355" s="380"/>
      <c r="AG355" s="380"/>
      <c r="AH355" s="671"/>
      <c r="AI355" s="380"/>
      <c r="AJ355" s="583"/>
      <c r="AK355" s="583"/>
      <c r="AL355" s="511"/>
      <c r="AM355" s="584"/>
      <c r="AN355" s="584"/>
      <c r="AO355" s="584"/>
      <c r="AP355" s="671"/>
      <c r="AQ355" s="584"/>
      <c r="AR355" s="583"/>
      <c r="AS355" s="583"/>
      <c r="AT355" s="585"/>
      <c r="AU355" s="585"/>
      <c r="AV355" s="585"/>
      <c r="AW355" s="585"/>
      <c r="AX355" s="673"/>
      <c r="AY355" s="380"/>
      <c r="AZ355" s="380"/>
      <c r="BA355" s="380"/>
      <c r="BB355" s="380"/>
      <c r="BC355" s="380"/>
      <c r="BD355" s="380"/>
      <c r="BE355" s="380"/>
      <c r="BF355" s="380"/>
      <c r="BG355" s="380"/>
      <c r="BH355" s="380"/>
      <c r="BI355" s="511"/>
      <c r="BJ355" s="380"/>
      <c r="BK355" s="380"/>
      <c r="BL355" s="380"/>
      <c r="BM355" s="380"/>
      <c r="BN355" s="380"/>
      <c r="BO355" s="380"/>
      <c r="BP355" s="380"/>
      <c r="BQ355" s="380"/>
      <c r="BR355" s="380"/>
    </row>
    <row r="356" spans="1:70" ht="12.75" customHeight="1" x14ac:dyDescent="0.25">
      <c r="A356" s="380"/>
      <c r="B356" s="380"/>
      <c r="C356" s="380"/>
      <c r="D356" s="380"/>
      <c r="E356" s="511"/>
      <c r="F356" s="511"/>
      <c r="G356" s="582"/>
      <c r="H356" s="511"/>
      <c r="I356" s="511"/>
      <c r="J356" s="582"/>
      <c r="K356" s="511"/>
      <c r="L356" s="511"/>
      <c r="M356" s="582"/>
      <c r="N356" s="582"/>
      <c r="O356" s="582"/>
      <c r="P356" s="582"/>
      <c r="Q356" s="511"/>
      <c r="R356" s="511"/>
      <c r="S356" s="511"/>
      <c r="T356" s="639"/>
      <c r="U356" s="511"/>
      <c r="V356" s="511"/>
      <c r="W356" s="511"/>
      <c r="X356" s="511"/>
      <c r="Y356" s="380"/>
      <c r="Z356" s="380"/>
      <c r="AA356" s="380"/>
      <c r="AB356" s="380"/>
      <c r="AC356" s="380"/>
      <c r="AD356" s="671"/>
      <c r="AE356" s="380"/>
      <c r="AF356" s="380"/>
      <c r="AG356" s="380"/>
      <c r="AH356" s="671"/>
      <c r="AI356" s="380"/>
      <c r="AJ356" s="583"/>
      <c r="AK356" s="583"/>
      <c r="AL356" s="511"/>
      <c r="AM356" s="584"/>
      <c r="AN356" s="584"/>
      <c r="AO356" s="584"/>
      <c r="AP356" s="671"/>
      <c r="AQ356" s="584"/>
      <c r="AR356" s="583"/>
      <c r="AS356" s="583"/>
      <c r="AT356" s="585"/>
      <c r="AU356" s="585"/>
      <c r="AV356" s="585"/>
      <c r="AW356" s="585"/>
      <c r="AX356" s="673"/>
      <c r="AY356" s="380"/>
      <c r="AZ356" s="380"/>
      <c r="BA356" s="380"/>
      <c r="BB356" s="380"/>
      <c r="BC356" s="380"/>
      <c r="BD356" s="380"/>
      <c r="BE356" s="380"/>
      <c r="BF356" s="380"/>
      <c r="BG356" s="380"/>
      <c r="BH356" s="380"/>
      <c r="BI356" s="511"/>
      <c r="BJ356" s="380"/>
      <c r="BK356" s="380"/>
      <c r="BL356" s="380"/>
      <c r="BM356" s="380"/>
      <c r="BN356" s="380"/>
      <c r="BO356" s="380"/>
      <c r="BP356" s="380"/>
      <c r="BQ356" s="380"/>
      <c r="BR356" s="380"/>
    </row>
    <row r="357" spans="1:70" ht="12.75" customHeight="1" x14ac:dyDescent="0.25">
      <c r="A357" s="380"/>
      <c r="B357" s="380"/>
      <c r="C357" s="380"/>
      <c r="D357" s="380"/>
      <c r="E357" s="511"/>
      <c r="F357" s="511"/>
      <c r="G357" s="582"/>
      <c r="H357" s="511"/>
      <c r="I357" s="511"/>
      <c r="J357" s="582"/>
      <c r="K357" s="511"/>
      <c r="L357" s="511"/>
      <c r="M357" s="582"/>
      <c r="N357" s="582"/>
      <c r="O357" s="582"/>
      <c r="P357" s="582"/>
      <c r="Q357" s="511"/>
      <c r="R357" s="511"/>
      <c r="S357" s="511"/>
      <c r="T357" s="639"/>
      <c r="U357" s="511"/>
      <c r="V357" s="511"/>
      <c r="W357" s="511"/>
      <c r="X357" s="511"/>
      <c r="Y357" s="380"/>
      <c r="Z357" s="380"/>
      <c r="AA357" s="380"/>
      <c r="AB357" s="380"/>
      <c r="AC357" s="380"/>
      <c r="AD357" s="671"/>
      <c r="AE357" s="380"/>
      <c r="AF357" s="380"/>
      <c r="AG357" s="380"/>
      <c r="AH357" s="671"/>
      <c r="AI357" s="380"/>
      <c r="AJ357" s="583"/>
      <c r="AK357" s="583"/>
      <c r="AL357" s="511"/>
      <c r="AM357" s="584"/>
      <c r="AN357" s="584"/>
      <c r="AO357" s="584"/>
      <c r="AP357" s="671"/>
      <c r="AQ357" s="584"/>
      <c r="AR357" s="583"/>
      <c r="AS357" s="583"/>
      <c r="AT357" s="585"/>
      <c r="AU357" s="585"/>
      <c r="AV357" s="585"/>
      <c r="AW357" s="585"/>
      <c r="AX357" s="673"/>
      <c r="AY357" s="380"/>
      <c r="AZ357" s="380"/>
      <c r="BA357" s="380"/>
      <c r="BB357" s="380"/>
      <c r="BC357" s="380"/>
      <c r="BD357" s="380"/>
      <c r="BE357" s="380"/>
      <c r="BF357" s="380"/>
      <c r="BG357" s="380"/>
      <c r="BH357" s="380"/>
      <c r="BI357" s="511"/>
      <c r="BJ357" s="380"/>
      <c r="BK357" s="380"/>
      <c r="BL357" s="380"/>
      <c r="BM357" s="380"/>
      <c r="BN357" s="380"/>
      <c r="BO357" s="380"/>
      <c r="BP357" s="380"/>
      <c r="BQ357" s="380"/>
      <c r="BR357" s="380"/>
    </row>
    <row r="358" spans="1:70" ht="12.75" customHeight="1" x14ac:dyDescent="0.25">
      <c r="A358" s="380"/>
      <c r="B358" s="380"/>
      <c r="C358" s="380"/>
      <c r="D358" s="380"/>
      <c r="E358" s="511"/>
      <c r="F358" s="511"/>
      <c r="G358" s="582"/>
      <c r="H358" s="511"/>
      <c r="I358" s="511"/>
      <c r="J358" s="582"/>
      <c r="K358" s="511"/>
      <c r="L358" s="511"/>
      <c r="M358" s="582"/>
      <c r="N358" s="582"/>
      <c r="O358" s="582"/>
      <c r="P358" s="582"/>
      <c r="Q358" s="511"/>
      <c r="R358" s="511"/>
      <c r="S358" s="511"/>
      <c r="T358" s="639"/>
      <c r="U358" s="511"/>
      <c r="V358" s="511"/>
      <c r="W358" s="511"/>
      <c r="X358" s="511"/>
      <c r="Y358" s="380"/>
      <c r="Z358" s="380"/>
      <c r="AA358" s="380"/>
      <c r="AB358" s="380"/>
      <c r="AC358" s="380"/>
      <c r="AD358" s="671"/>
      <c r="AE358" s="380"/>
      <c r="AF358" s="380"/>
      <c r="AG358" s="380"/>
      <c r="AH358" s="671"/>
      <c r="AI358" s="380"/>
      <c r="AJ358" s="583"/>
      <c r="AK358" s="583"/>
      <c r="AL358" s="511"/>
      <c r="AM358" s="584"/>
      <c r="AN358" s="584"/>
      <c r="AO358" s="584"/>
      <c r="AP358" s="671"/>
      <c r="AQ358" s="584"/>
      <c r="AR358" s="583"/>
      <c r="AS358" s="583"/>
      <c r="AT358" s="585"/>
      <c r="AU358" s="585"/>
      <c r="AV358" s="585"/>
      <c r="AW358" s="585"/>
      <c r="AX358" s="673"/>
      <c r="AY358" s="380"/>
      <c r="AZ358" s="380"/>
      <c r="BA358" s="380"/>
      <c r="BB358" s="380"/>
      <c r="BC358" s="380"/>
      <c r="BD358" s="380"/>
      <c r="BE358" s="380"/>
      <c r="BF358" s="380"/>
      <c r="BG358" s="380"/>
      <c r="BH358" s="380"/>
      <c r="BI358" s="511"/>
      <c r="BJ358" s="380"/>
      <c r="BK358" s="380"/>
      <c r="BL358" s="380"/>
      <c r="BM358" s="380"/>
      <c r="BN358" s="380"/>
      <c r="BO358" s="380"/>
      <c r="BP358" s="380"/>
      <c r="BQ358" s="380"/>
      <c r="BR358" s="380"/>
    </row>
    <row r="359" spans="1:70" ht="12.75" customHeight="1" x14ac:dyDescent="0.25">
      <c r="A359" s="380"/>
      <c r="B359" s="380"/>
      <c r="C359" s="380"/>
      <c r="D359" s="380"/>
      <c r="E359" s="511"/>
      <c r="F359" s="511"/>
      <c r="G359" s="582"/>
      <c r="H359" s="511"/>
      <c r="I359" s="511"/>
      <c r="J359" s="582"/>
      <c r="K359" s="511"/>
      <c r="L359" s="511"/>
      <c r="M359" s="582"/>
      <c r="N359" s="582"/>
      <c r="O359" s="582"/>
      <c r="P359" s="582"/>
      <c r="Q359" s="511"/>
      <c r="R359" s="511"/>
      <c r="S359" s="511"/>
      <c r="T359" s="639"/>
      <c r="U359" s="511"/>
      <c r="V359" s="511"/>
      <c r="W359" s="511"/>
      <c r="X359" s="511"/>
      <c r="Y359" s="380"/>
      <c r="Z359" s="380"/>
      <c r="AA359" s="380"/>
      <c r="AB359" s="380"/>
      <c r="AC359" s="380"/>
      <c r="AD359" s="671"/>
      <c r="AE359" s="380"/>
      <c r="AF359" s="380"/>
      <c r="AG359" s="380"/>
      <c r="AH359" s="671"/>
      <c r="AI359" s="380"/>
      <c r="AJ359" s="583"/>
      <c r="AK359" s="583"/>
      <c r="AL359" s="511"/>
      <c r="AM359" s="584"/>
      <c r="AN359" s="584"/>
      <c r="AO359" s="584"/>
      <c r="AP359" s="671"/>
      <c r="AQ359" s="584"/>
      <c r="AR359" s="583"/>
      <c r="AS359" s="583"/>
      <c r="AT359" s="585"/>
      <c r="AU359" s="585"/>
      <c r="AV359" s="585"/>
      <c r="AW359" s="585"/>
      <c r="AX359" s="673"/>
      <c r="AY359" s="380"/>
      <c r="AZ359" s="380"/>
      <c r="BA359" s="380"/>
      <c r="BB359" s="380"/>
      <c r="BC359" s="380"/>
      <c r="BD359" s="380"/>
      <c r="BE359" s="380"/>
      <c r="BF359" s="380"/>
      <c r="BG359" s="380"/>
      <c r="BH359" s="380"/>
      <c r="BI359" s="511"/>
      <c r="BJ359" s="380"/>
      <c r="BK359" s="380"/>
      <c r="BL359" s="380"/>
      <c r="BM359" s="380"/>
      <c r="BN359" s="380"/>
      <c r="BO359" s="380"/>
      <c r="BP359" s="380"/>
      <c r="BQ359" s="380"/>
      <c r="BR359" s="380"/>
    </row>
    <row r="360" spans="1:70" ht="12.75" customHeight="1" x14ac:dyDescent="0.25">
      <c r="A360" s="380"/>
      <c r="B360" s="380"/>
      <c r="C360" s="380"/>
      <c r="D360" s="380"/>
      <c r="E360" s="511"/>
      <c r="F360" s="511"/>
      <c r="G360" s="582"/>
      <c r="H360" s="511"/>
      <c r="I360" s="511"/>
      <c r="J360" s="582"/>
      <c r="K360" s="511"/>
      <c r="L360" s="511"/>
      <c r="M360" s="582"/>
      <c r="N360" s="582"/>
      <c r="O360" s="582"/>
      <c r="P360" s="582"/>
      <c r="Q360" s="511"/>
      <c r="R360" s="511"/>
      <c r="S360" s="511"/>
      <c r="T360" s="639"/>
      <c r="U360" s="511"/>
      <c r="V360" s="511"/>
      <c r="W360" s="511"/>
      <c r="X360" s="511"/>
      <c r="Y360" s="380"/>
      <c r="Z360" s="380"/>
      <c r="AA360" s="380"/>
      <c r="AB360" s="380"/>
      <c r="AC360" s="380"/>
      <c r="AD360" s="671"/>
      <c r="AE360" s="380"/>
      <c r="AF360" s="380"/>
      <c r="AG360" s="380"/>
      <c r="AH360" s="671"/>
      <c r="AI360" s="380"/>
      <c r="AJ360" s="583"/>
      <c r="AK360" s="583"/>
      <c r="AL360" s="511"/>
      <c r="AM360" s="584"/>
      <c r="AN360" s="584"/>
      <c r="AO360" s="584"/>
      <c r="AP360" s="671"/>
      <c r="AQ360" s="584"/>
      <c r="AR360" s="583"/>
      <c r="AS360" s="583"/>
      <c r="AT360" s="585"/>
      <c r="AU360" s="585"/>
      <c r="AV360" s="585"/>
      <c r="AW360" s="585"/>
      <c r="AX360" s="673"/>
      <c r="AY360" s="380"/>
      <c r="AZ360" s="380"/>
      <c r="BA360" s="380"/>
      <c r="BB360" s="380"/>
      <c r="BC360" s="380"/>
      <c r="BD360" s="380"/>
      <c r="BE360" s="380"/>
      <c r="BF360" s="380"/>
      <c r="BG360" s="380"/>
      <c r="BH360" s="380"/>
      <c r="BI360" s="511"/>
      <c r="BJ360" s="380"/>
      <c r="BK360" s="380"/>
      <c r="BL360" s="380"/>
      <c r="BM360" s="380"/>
      <c r="BN360" s="380"/>
      <c r="BO360" s="380"/>
      <c r="BP360" s="380"/>
      <c r="BQ360" s="380"/>
      <c r="BR360" s="380"/>
    </row>
    <row r="361" spans="1:70" ht="12.75" customHeight="1" x14ac:dyDescent="0.25">
      <c r="A361" s="380"/>
      <c r="B361" s="380"/>
      <c r="C361" s="380"/>
      <c r="D361" s="380"/>
      <c r="E361" s="511"/>
      <c r="F361" s="511"/>
      <c r="G361" s="582"/>
      <c r="H361" s="511"/>
      <c r="I361" s="511"/>
      <c r="J361" s="582"/>
      <c r="K361" s="511"/>
      <c r="L361" s="511"/>
      <c r="M361" s="582"/>
      <c r="N361" s="582"/>
      <c r="O361" s="582"/>
      <c r="P361" s="582"/>
      <c r="Q361" s="511"/>
      <c r="R361" s="511"/>
      <c r="S361" s="511"/>
      <c r="T361" s="639"/>
      <c r="U361" s="511"/>
      <c r="V361" s="511"/>
      <c r="W361" s="511"/>
      <c r="X361" s="511"/>
      <c r="Y361" s="380"/>
      <c r="Z361" s="380"/>
      <c r="AA361" s="380"/>
      <c r="AB361" s="380"/>
      <c r="AC361" s="380"/>
      <c r="AD361" s="671"/>
      <c r="AE361" s="380"/>
      <c r="AF361" s="380"/>
      <c r="AG361" s="380"/>
      <c r="AH361" s="671"/>
      <c r="AI361" s="380"/>
      <c r="AJ361" s="583"/>
      <c r="AK361" s="583"/>
      <c r="AL361" s="511"/>
      <c r="AM361" s="584"/>
      <c r="AN361" s="584"/>
      <c r="AO361" s="584"/>
      <c r="AP361" s="671"/>
      <c r="AQ361" s="584"/>
      <c r="AR361" s="583"/>
      <c r="AS361" s="583"/>
      <c r="AT361" s="585"/>
      <c r="AU361" s="585"/>
      <c r="AV361" s="585"/>
      <c r="AW361" s="585"/>
      <c r="AX361" s="673"/>
      <c r="AY361" s="380"/>
      <c r="AZ361" s="380"/>
      <c r="BA361" s="380"/>
      <c r="BB361" s="380"/>
      <c r="BC361" s="380"/>
      <c r="BD361" s="380"/>
      <c r="BE361" s="380"/>
      <c r="BF361" s="380"/>
      <c r="BG361" s="380"/>
      <c r="BH361" s="380"/>
      <c r="BI361" s="511"/>
      <c r="BJ361" s="380"/>
      <c r="BK361" s="380"/>
      <c r="BL361" s="380"/>
      <c r="BM361" s="380"/>
      <c r="BN361" s="380"/>
      <c r="BO361" s="380"/>
      <c r="BP361" s="380"/>
      <c r="BQ361" s="380"/>
      <c r="BR361" s="380"/>
    </row>
    <row r="362" spans="1:70" ht="12.75" customHeight="1" x14ac:dyDescent="0.25">
      <c r="A362" s="380"/>
      <c r="B362" s="380"/>
      <c r="C362" s="380"/>
      <c r="D362" s="380"/>
      <c r="E362" s="511"/>
      <c r="F362" s="511"/>
      <c r="G362" s="582"/>
      <c r="H362" s="511"/>
      <c r="I362" s="511"/>
      <c r="J362" s="582"/>
      <c r="K362" s="511"/>
      <c r="L362" s="511"/>
      <c r="M362" s="582"/>
      <c r="N362" s="582"/>
      <c r="O362" s="582"/>
      <c r="P362" s="582"/>
      <c r="Q362" s="511"/>
      <c r="R362" s="511"/>
      <c r="S362" s="511"/>
      <c r="T362" s="639"/>
      <c r="U362" s="511"/>
      <c r="V362" s="511"/>
      <c r="W362" s="511"/>
      <c r="X362" s="511"/>
      <c r="Y362" s="380"/>
      <c r="Z362" s="380"/>
      <c r="AA362" s="380"/>
      <c r="AB362" s="380"/>
      <c r="AC362" s="380"/>
      <c r="AD362" s="671"/>
      <c r="AE362" s="380"/>
      <c r="AF362" s="380"/>
      <c r="AG362" s="380"/>
      <c r="AH362" s="671"/>
      <c r="AI362" s="380"/>
      <c r="AJ362" s="583"/>
      <c r="AK362" s="583"/>
      <c r="AL362" s="511"/>
      <c r="AM362" s="584"/>
      <c r="AN362" s="584"/>
      <c r="AO362" s="584"/>
      <c r="AP362" s="671"/>
      <c r="AQ362" s="584"/>
      <c r="AR362" s="583"/>
      <c r="AS362" s="583"/>
      <c r="AT362" s="585"/>
      <c r="AU362" s="585"/>
      <c r="AV362" s="585"/>
      <c r="AW362" s="585"/>
      <c r="AX362" s="673"/>
      <c r="AY362" s="380"/>
      <c r="AZ362" s="380"/>
      <c r="BA362" s="380"/>
      <c r="BB362" s="380"/>
      <c r="BC362" s="380"/>
      <c r="BD362" s="380"/>
      <c r="BE362" s="380"/>
      <c r="BF362" s="380"/>
      <c r="BG362" s="380"/>
      <c r="BH362" s="380"/>
      <c r="BI362" s="511"/>
      <c r="BJ362" s="380"/>
      <c r="BK362" s="380"/>
      <c r="BL362" s="380"/>
      <c r="BM362" s="380"/>
      <c r="BN362" s="380"/>
      <c r="BO362" s="380"/>
      <c r="BP362" s="380"/>
      <c r="BQ362" s="380"/>
      <c r="BR362" s="380"/>
    </row>
    <row r="363" spans="1:70" ht="12.75" customHeight="1" x14ac:dyDescent="0.25">
      <c r="A363" s="380"/>
      <c r="B363" s="380"/>
      <c r="C363" s="380"/>
      <c r="D363" s="380"/>
      <c r="E363" s="511"/>
      <c r="F363" s="511"/>
      <c r="G363" s="582"/>
      <c r="H363" s="511"/>
      <c r="I363" s="511"/>
      <c r="J363" s="582"/>
      <c r="K363" s="511"/>
      <c r="L363" s="511"/>
      <c r="M363" s="582"/>
      <c r="N363" s="582"/>
      <c r="O363" s="582"/>
      <c r="P363" s="582"/>
      <c r="Q363" s="511"/>
      <c r="R363" s="511"/>
      <c r="S363" s="511"/>
      <c r="T363" s="639"/>
      <c r="U363" s="511"/>
      <c r="V363" s="511"/>
      <c r="W363" s="511"/>
      <c r="X363" s="511"/>
      <c r="Y363" s="380"/>
      <c r="Z363" s="380"/>
      <c r="AA363" s="380"/>
      <c r="AB363" s="380"/>
      <c r="AC363" s="380"/>
      <c r="AD363" s="671"/>
      <c r="AE363" s="380"/>
      <c r="AF363" s="380"/>
      <c r="AG363" s="380"/>
      <c r="AH363" s="671"/>
      <c r="AI363" s="380"/>
      <c r="AJ363" s="583"/>
      <c r="AK363" s="583"/>
      <c r="AL363" s="511"/>
      <c r="AM363" s="584"/>
      <c r="AN363" s="584"/>
      <c r="AO363" s="584"/>
      <c r="AP363" s="671"/>
      <c r="AQ363" s="584"/>
      <c r="AR363" s="583"/>
      <c r="AS363" s="583"/>
      <c r="AT363" s="585"/>
      <c r="AU363" s="585"/>
      <c r="AV363" s="585"/>
      <c r="AW363" s="585"/>
      <c r="AX363" s="673"/>
      <c r="AY363" s="380"/>
      <c r="AZ363" s="380"/>
      <c r="BA363" s="380"/>
      <c r="BB363" s="380"/>
      <c r="BC363" s="380"/>
      <c r="BD363" s="380"/>
      <c r="BE363" s="380"/>
      <c r="BF363" s="380"/>
      <c r="BG363" s="380"/>
      <c r="BH363" s="380"/>
      <c r="BI363" s="511"/>
      <c r="BJ363" s="380"/>
      <c r="BK363" s="380"/>
      <c r="BL363" s="380"/>
      <c r="BM363" s="380"/>
      <c r="BN363" s="380"/>
      <c r="BO363" s="380"/>
      <c r="BP363" s="380"/>
      <c r="BQ363" s="380"/>
      <c r="BR363" s="380"/>
    </row>
    <row r="364" spans="1:70" ht="12.75" customHeight="1" x14ac:dyDescent="0.25">
      <c r="A364" s="380"/>
      <c r="B364" s="380"/>
      <c r="C364" s="380"/>
      <c r="D364" s="380"/>
      <c r="E364" s="511"/>
      <c r="F364" s="511"/>
      <c r="G364" s="582"/>
      <c r="H364" s="511"/>
      <c r="I364" s="511"/>
      <c r="J364" s="582"/>
      <c r="K364" s="511"/>
      <c r="L364" s="511"/>
      <c r="M364" s="582"/>
      <c r="N364" s="582"/>
      <c r="O364" s="582"/>
      <c r="P364" s="582"/>
      <c r="Q364" s="511"/>
      <c r="R364" s="511"/>
      <c r="S364" s="511"/>
      <c r="T364" s="639"/>
      <c r="U364" s="511"/>
      <c r="V364" s="511"/>
      <c r="W364" s="511"/>
      <c r="X364" s="511"/>
      <c r="Y364" s="380"/>
      <c r="Z364" s="380"/>
      <c r="AA364" s="380"/>
      <c r="AB364" s="380"/>
      <c r="AC364" s="380"/>
      <c r="AD364" s="671"/>
      <c r="AE364" s="380"/>
      <c r="AF364" s="380"/>
      <c r="AG364" s="380"/>
      <c r="AH364" s="671"/>
      <c r="AI364" s="380"/>
      <c r="AJ364" s="583"/>
      <c r="AK364" s="583"/>
      <c r="AL364" s="511"/>
      <c r="AM364" s="584"/>
      <c r="AN364" s="584"/>
      <c r="AO364" s="584"/>
      <c r="AP364" s="671"/>
      <c r="AQ364" s="584"/>
      <c r="AR364" s="583"/>
      <c r="AS364" s="583"/>
      <c r="AT364" s="585"/>
      <c r="AU364" s="585"/>
      <c r="AV364" s="585"/>
      <c r="AW364" s="585"/>
      <c r="AX364" s="673"/>
      <c r="AY364" s="380"/>
      <c r="AZ364" s="380"/>
      <c r="BA364" s="380"/>
      <c r="BB364" s="380"/>
      <c r="BC364" s="380"/>
      <c r="BD364" s="380"/>
      <c r="BE364" s="380"/>
      <c r="BF364" s="380"/>
      <c r="BG364" s="380"/>
      <c r="BH364" s="380"/>
      <c r="BI364" s="511"/>
      <c r="BJ364" s="380"/>
      <c r="BK364" s="380"/>
      <c r="BL364" s="380"/>
      <c r="BM364" s="380"/>
      <c r="BN364" s="380"/>
      <c r="BO364" s="380"/>
      <c r="BP364" s="380"/>
      <c r="BQ364" s="380"/>
      <c r="BR364" s="380"/>
    </row>
    <row r="365" spans="1:70" ht="12.75" customHeight="1" x14ac:dyDescent="0.25">
      <c r="A365" s="380"/>
      <c r="B365" s="380"/>
      <c r="C365" s="380"/>
      <c r="D365" s="380"/>
      <c r="E365" s="511"/>
      <c r="F365" s="511"/>
      <c r="G365" s="582"/>
      <c r="H365" s="511"/>
      <c r="I365" s="511"/>
      <c r="J365" s="582"/>
      <c r="K365" s="511"/>
      <c r="L365" s="511"/>
      <c r="M365" s="582"/>
      <c r="N365" s="582"/>
      <c r="O365" s="582"/>
      <c r="P365" s="582"/>
      <c r="Q365" s="511"/>
      <c r="R365" s="511"/>
      <c r="S365" s="511"/>
      <c r="T365" s="639"/>
      <c r="U365" s="511"/>
      <c r="V365" s="511"/>
      <c r="W365" s="511"/>
      <c r="X365" s="511"/>
      <c r="Y365" s="380"/>
      <c r="Z365" s="380"/>
      <c r="AA365" s="380"/>
      <c r="AB365" s="380"/>
      <c r="AC365" s="380"/>
      <c r="AD365" s="671"/>
      <c r="AE365" s="380"/>
      <c r="AF365" s="380"/>
      <c r="AG365" s="380"/>
      <c r="AH365" s="671"/>
      <c r="AI365" s="380"/>
      <c r="AJ365" s="583"/>
      <c r="AK365" s="583"/>
      <c r="AL365" s="511"/>
      <c r="AM365" s="584"/>
      <c r="AN365" s="584"/>
      <c r="AO365" s="584"/>
      <c r="AP365" s="671"/>
      <c r="AQ365" s="584"/>
      <c r="AR365" s="583"/>
      <c r="AS365" s="583"/>
      <c r="AT365" s="585"/>
      <c r="AU365" s="585"/>
      <c r="AV365" s="585"/>
      <c r="AW365" s="585"/>
      <c r="AX365" s="673"/>
      <c r="AY365" s="380"/>
      <c r="AZ365" s="380"/>
      <c r="BA365" s="380"/>
      <c r="BB365" s="380"/>
      <c r="BC365" s="380"/>
      <c r="BD365" s="380"/>
      <c r="BE365" s="380"/>
      <c r="BF365" s="380"/>
      <c r="BG365" s="380"/>
      <c r="BH365" s="380"/>
      <c r="BI365" s="511"/>
      <c r="BJ365" s="380"/>
      <c r="BK365" s="380"/>
      <c r="BL365" s="380"/>
      <c r="BM365" s="380"/>
      <c r="BN365" s="380"/>
      <c r="BO365" s="380"/>
      <c r="BP365" s="380"/>
      <c r="BQ365" s="380"/>
      <c r="BR365" s="380"/>
    </row>
    <row r="366" spans="1:70" ht="12.75" customHeight="1" x14ac:dyDescent="0.25">
      <c r="A366" s="380"/>
      <c r="B366" s="380"/>
      <c r="C366" s="380"/>
      <c r="D366" s="380"/>
      <c r="E366" s="511"/>
      <c r="F366" s="511"/>
      <c r="G366" s="582"/>
      <c r="H366" s="511"/>
      <c r="I366" s="511"/>
      <c r="J366" s="582"/>
      <c r="K366" s="511"/>
      <c r="L366" s="511"/>
      <c r="M366" s="582"/>
      <c r="N366" s="582"/>
      <c r="O366" s="582"/>
      <c r="P366" s="582"/>
      <c r="Q366" s="511"/>
      <c r="R366" s="511"/>
      <c r="S366" s="511"/>
      <c r="T366" s="639"/>
      <c r="U366" s="511"/>
      <c r="V366" s="511"/>
      <c r="W366" s="511"/>
      <c r="X366" s="511"/>
      <c r="Y366" s="380"/>
      <c r="Z366" s="380"/>
      <c r="AA366" s="380"/>
      <c r="AB366" s="380"/>
      <c r="AC366" s="380"/>
      <c r="AD366" s="671"/>
      <c r="AE366" s="380"/>
      <c r="AF366" s="380"/>
      <c r="AG366" s="380"/>
      <c r="AH366" s="671"/>
      <c r="AI366" s="380"/>
      <c r="AJ366" s="583"/>
      <c r="AK366" s="583"/>
      <c r="AL366" s="511"/>
      <c r="AM366" s="584"/>
      <c r="AN366" s="584"/>
      <c r="AO366" s="584"/>
      <c r="AP366" s="671"/>
      <c r="AQ366" s="584"/>
      <c r="AR366" s="583"/>
      <c r="AS366" s="583"/>
      <c r="AT366" s="585"/>
      <c r="AU366" s="585"/>
      <c r="AV366" s="585"/>
      <c r="AW366" s="585"/>
      <c r="AX366" s="673"/>
      <c r="AY366" s="380"/>
      <c r="AZ366" s="380"/>
      <c r="BA366" s="380"/>
      <c r="BB366" s="380"/>
      <c r="BC366" s="380"/>
      <c r="BD366" s="380"/>
      <c r="BE366" s="380"/>
      <c r="BF366" s="380"/>
      <c r="BG366" s="380"/>
      <c r="BH366" s="380"/>
      <c r="BI366" s="511"/>
      <c r="BJ366" s="380"/>
      <c r="BK366" s="380"/>
      <c r="BL366" s="380"/>
      <c r="BM366" s="380"/>
      <c r="BN366" s="380"/>
      <c r="BO366" s="380"/>
      <c r="BP366" s="380"/>
      <c r="BQ366" s="380"/>
      <c r="BR366" s="380"/>
    </row>
    <row r="367" spans="1:70" ht="12.75" customHeight="1" x14ac:dyDescent="0.25">
      <c r="A367" s="380"/>
      <c r="B367" s="380"/>
      <c r="C367" s="380"/>
      <c r="D367" s="380"/>
      <c r="E367" s="511"/>
      <c r="F367" s="511"/>
      <c r="G367" s="582"/>
      <c r="H367" s="511"/>
      <c r="I367" s="511"/>
      <c r="J367" s="582"/>
      <c r="K367" s="511"/>
      <c r="L367" s="511"/>
      <c r="M367" s="582"/>
      <c r="N367" s="582"/>
      <c r="O367" s="582"/>
      <c r="P367" s="582"/>
      <c r="Q367" s="511"/>
      <c r="R367" s="511"/>
      <c r="S367" s="511"/>
      <c r="T367" s="639"/>
      <c r="U367" s="511"/>
      <c r="V367" s="511"/>
      <c r="W367" s="511"/>
      <c r="X367" s="511"/>
      <c r="Y367" s="380"/>
      <c r="Z367" s="380"/>
      <c r="AA367" s="380"/>
      <c r="AB367" s="380"/>
      <c r="AC367" s="380"/>
      <c r="AD367" s="671"/>
      <c r="AE367" s="380"/>
      <c r="AF367" s="380"/>
      <c r="AG367" s="380"/>
      <c r="AH367" s="671"/>
      <c r="AI367" s="380"/>
      <c r="AJ367" s="583"/>
      <c r="AK367" s="583"/>
      <c r="AL367" s="511"/>
      <c r="AM367" s="584"/>
      <c r="AN367" s="584"/>
      <c r="AO367" s="584"/>
      <c r="AP367" s="671"/>
      <c r="AQ367" s="584"/>
      <c r="AR367" s="583"/>
      <c r="AS367" s="583"/>
      <c r="AT367" s="585"/>
      <c r="AU367" s="585"/>
      <c r="AV367" s="585"/>
      <c r="AW367" s="585"/>
      <c r="AX367" s="673"/>
      <c r="AY367" s="380"/>
      <c r="AZ367" s="380"/>
      <c r="BA367" s="380"/>
      <c r="BB367" s="380"/>
      <c r="BC367" s="380"/>
      <c r="BD367" s="380"/>
      <c r="BE367" s="380"/>
      <c r="BF367" s="380"/>
      <c r="BG367" s="380"/>
      <c r="BH367" s="380"/>
      <c r="BI367" s="511"/>
      <c r="BJ367" s="380"/>
      <c r="BK367" s="380"/>
      <c r="BL367" s="380"/>
      <c r="BM367" s="380"/>
      <c r="BN367" s="380"/>
      <c r="BO367" s="380"/>
      <c r="BP367" s="380"/>
      <c r="BQ367" s="380"/>
      <c r="BR367" s="380"/>
    </row>
    <row r="368" spans="1:70" ht="12.75" customHeight="1" x14ac:dyDescent="0.25">
      <c r="A368" s="380"/>
      <c r="B368" s="380"/>
      <c r="C368" s="380"/>
      <c r="D368" s="380"/>
      <c r="E368" s="511"/>
      <c r="F368" s="511"/>
      <c r="G368" s="582"/>
      <c r="H368" s="511"/>
      <c r="I368" s="511"/>
      <c r="J368" s="582"/>
      <c r="K368" s="511"/>
      <c r="L368" s="511"/>
      <c r="M368" s="582"/>
      <c r="N368" s="582"/>
      <c r="O368" s="582"/>
      <c r="P368" s="582"/>
      <c r="Q368" s="511"/>
      <c r="R368" s="511"/>
      <c r="S368" s="511"/>
      <c r="T368" s="639"/>
      <c r="U368" s="511"/>
      <c r="V368" s="511"/>
      <c r="W368" s="511"/>
      <c r="X368" s="511"/>
      <c r="Y368" s="380"/>
      <c r="Z368" s="380"/>
      <c r="AA368" s="380"/>
      <c r="AB368" s="380"/>
      <c r="AC368" s="380"/>
      <c r="AD368" s="671"/>
      <c r="AE368" s="380"/>
      <c r="AF368" s="380"/>
      <c r="AG368" s="380"/>
      <c r="AH368" s="671"/>
      <c r="AI368" s="380"/>
      <c r="AJ368" s="583"/>
      <c r="AK368" s="583"/>
      <c r="AL368" s="511"/>
      <c r="AM368" s="584"/>
      <c r="AN368" s="584"/>
      <c r="AO368" s="584"/>
      <c r="AP368" s="671"/>
      <c r="AQ368" s="584"/>
      <c r="AR368" s="583"/>
      <c r="AS368" s="583"/>
      <c r="AT368" s="585"/>
      <c r="AU368" s="585"/>
      <c r="AV368" s="585"/>
      <c r="AW368" s="585"/>
      <c r="AX368" s="673"/>
      <c r="AY368" s="380"/>
      <c r="AZ368" s="380"/>
      <c r="BA368" s="380"/>
      <c r="BB368" s="380"/>
      <c r="BC368" s="380"/>
      <c r="BD368" s="380"/>
      <c r="BE368" s="380"/>
      <c r="BF368" s="380"/>
      <c r="BG368" s="380"/>
      <c r="BH368" s="380"/>
      <c r="BI368" s="511"/>
      <c r="BJ368" s="380"/>
      <c r="BK368" s="380"/>
      <c r="BL368" s="380"/>
      <c r="BM368" s="380"/>
      <c r="BN368" s="380"/>
      <c r="BO368" s="380"/>
      <c r="BP368" s="380"/>
      <c r="BQ368" s="380"/>
      <c r="BR368" s="380"/>
    </row>
    <row r="369" spans="1:70" ht="12.75" customHeight="1" x14ac:dyDescent="0.25">
      <c r="A369" s="380"/>
      <c r="B369" s="380"/>
      <c r="C369" s="380"/>
      <c r="D369" s="380"/>
      <c r="E369" s="511"/>
      <c r="F369" s="511"/>
      <c r="G369" s="582"/>
      <c r="H369" s="511"/>
      <c r="I369" s="511"/>
      <c r="J369" s="582"/>
      <c r="K369" s="511"/>
      <c r="L369" s="511"/>
      <c r="M369" s="582"/>
      <c r="N369" s="582"/>
      <c r="O369" s="582"/>
      <c r="P369" s="582"/>
      <c r="Q369" s="511"/>
      <c r="R369" s="511"/>
      <c r="S369" s="511"/>
      <c r="T369" s="639"/>
      <c r="U369" s="511"/>
      <c r="V369" s="511"/>
      <c r="W369" s="511"/>
      <c r="X369" s="511"/>
      <c r="Y369" s="380"/>
      <c r="Z369" s="380"/>
      <c r="AA369" s="380"/>
      <c r="AB369" s="380"/>
      <c r="AC369" s="380"/>
      <c r="AD369" s="671"/>
      <c r="AE369" s="380"/>
      <c r="AF369" s="380"/>
      <c r="AG369" s="380"/>
      <c r="AH369" s="671"/>
      <c r="AI369" s="380"/>
      <c r="AJ369" s="583"/>
      <c r="AK369" s="583"/>
      <c r="AL369" s="511"/>
      <c r="AM369" s="584"/>
      <c r="AN369" s="584"/>
      <c r="AO369" s="584"/>
      <c r="AP369" s="671"/>
      <c r="AQ369" s="584"/>
      <c r="AR369" s="583"/>
      <c r="AS369" s="583"/>
      <c r="AT369" s="585"/>
      <c r="AU369" s="585"/>
      <c r="AV369" s="585"/>
      <c r="AW369" s="585"/>
      <c r="AX369" s="673"/>
      <c r="AY369" s="380"/>
      <c r="AZ369" s="380"/>
      <c r="BA369" s="380"/>
      <c r="BB369" s="380"/>
      <c r="BC369" s="380"/>
      <c r="BD369" s="380"/>
      <c r="BE369" s="380"/>
      <c r="BF369" s="380"/>
      <c r="BG369" s="380"/>
      <c r="BH369" s="380"/>
      <c r="BI369" s="511"/>
      <c r="BJ369" s="380"/>
      <c r="BK369" s="380"/>
      <c r="BL369" s="380"/>
      <c r="BM369" s="380"/>
      <c r="BN369" s="380"/>
      <c r="BO369" s="380"/>
      <c r="BP369" s="380"/>
      <c r="BQ369" s="380"/>
      <c r="BR369" s="380"/>
    </row>
    <row r="370" spans="1:70" ht="12.75" customHeight="1" x14ac:dyDescent="0.25">
      <c r="A370" s="380"/>
      <c r="B370" s="380"/>
      <c r="C370" s="380"/>
      <c r="D370" s="380"/>
      <c r="E370" s="511"/>
      <c r="F370" s="511"/>
      <c r="G370" s="582"/>
      <c r="H370" s="511"/>
      <c r="I370" s="511"/>
      <c r="J370" s="582"/>
      <c r="K370" s="511"/>
      <c r="L370" s="511"/>
      <c r="M370" s="582"/>
      <c r="N370" s="582"/>
      <c r="O370" s="582"/>
      <c r="P370" s="582"/>
      <c r="Q370" s="511"/>
      <c r="R370" s="511"/>
      <c r="S370" s="511"/>
      <c r="T370" s="639"/>
      <c r="U370" s="511"/>
      <c r="V370" s="511"/>
      <c r="W370" s="511"/>
      <c r="X370" s="511"/>
      <c r="Y370" s="380"/>
      <c r="Z370" s="380"/>
      <c r="AA370" s="380"/>
      <c r="AB370" s="380"/>
      <c r="AC370" s="380"/>
      <c r="AD370" s="671"/>
      <c r="AE370" s="380"/>
      <c r="AF370" s="380"/>
      <c r="AG370" s="380"/>
      <c r="AH370" s="671"/>
      <c r="AI370" s="380"/>
      <c r="AJ370" s="583"/>
      <c r="AK370" s="583"/>
      <c r="AL370" s="511"/>
      <c r="AM370" s="584"/>
      <c r="AN370" s="584"/>
      <c r="AO370" s="584"/>
      <c r="AP370" s="671"/>
      <c r="AQ370" s="584"/>
      <c r="AR370" s="583"/>
      <c r="AS370" s="583"/>
      <c r="AT370" s="585"/>
      <c r="AU370" s="585"/>
      <c r="AV370" s="585"/>
      <c r="AW370" s="585"/>
      <c r="AX370" s="673"/>
      <c r="AY370" s="380"/>
      <c r="AZ370" s="380"/>
      <c r="BA370" s="380"/>
      <c r="BB370" s="380"/>
      <c r="BC370" s="380"/>
      <c r="BD370" s="380"/>
      <c r="BE370" s="380"/>
      <c r="BF370" s="380"/>
      <c r="BG370" s="380"/>
      <c r="BH370" s="380"/>
      <c r="BI370" s="511"/>
      <c r="BJ370" s="380"/>
      <c r="BK370" s="380"/>
      <c r="BL370" s="380"/>
      <c r="BM370" s="380"/>
      <c r="BN370" s="380"/>
      <c r="BO370" s="380"/>
      <c r="BP370" s="380"/>
      <c r="BQ370" s="380"/>
      <c r="BR370" s="380"/>
    </row>
    <row r="371" spans="1:70" ht="12.75" customHeight="1" x14ac:dyDescent="0.25">
      <c r="A371" s="380"/>
      <c r="B371" s="380"/>
      <c r="C371" s="380"/>
      <c r="D371" s="380"/>
      <c r="E371" s="511"/>
      <c r="F371" s="511"/>
      <c r="G371" s="582"/>
      <c r="H371" s="511"/>
      <c r="I371" s="511"/>
      <c r="J371" s="582"/>
      <c r="K371" s="511"/>
      <c r="L371" s="511"/>
      <c r="M371" s="582"/>
      <c r="N371" s="582"/>
      <c r="O371" s="582"/>
      <c r="P371" s="582"/>
      <c r="Q371" s="511"/>
      <c r="R371" s="511"/>
      <c r="S371" s="511"/>
      <c r="T371" s="639"/>
      <c r="U371" s="511"/>
      <c r="V371" s="511"/>
      <c r="W371" s="511"/>
      <c r="X371" s="511"/>
      <c r="Y371" s="380"/>
      <c r="Z371" s="380"/>
      <c r="AA371" s="380"/>
      <c r="AB371" s="380"/>
      <c r="AC371" s="380"/>
      <c r="AD371" s="671"/>
      <c r="AE371" s="380"/>
      <c r="AF371" s="380"/>
      <c r="AG371" s="380"/>
      <c r="AH371" s="671"/>
      <c r="AI371" s="380"/>
      <c r="AJ371" s="583"/>
      <c r="AK371" s="583"/>
      <c r="AL371" s="511"/>
      <c r="AM371" s="584"/>
      <c r="AN371" s="584"/>
      <c r="AO371" s="584"/>
      <c r="AP371" s="671"/>
      <c r="AQ371" s="584"/>
      <c r="AR371" s="583"/>
      <c r="AS371" s="583"/>
      <c r="AT371" s="585"/>
      <c r="AU371" s="585"/>
      <c r="AV371" s="585"/>
      <c r="AW371" s="585"/>
      <c r="AX371" s="673"/>
      <c r="AY371" s="380"/>
      <c r="AZ371" s="380"/>
      <c r="BA371" s="380"/>
      <c r="BB371" s="380"/>
      <c r="BC371" s="380"/>
      <c r="BD371" s="380"/>
      <c r="BE371" s="380"/>
      <c r="BF371" s="380"/>
      <c r="BG371" s="380"/>
      <c r="BH371" s="380"/>
      <c r="BI371" s="511"/>
      <c r="BJ371" s="380"/>
      <c r="BK371" s="380"/>
      <c r="BL371" s="380"/>
      <c r="BM371" s="380"/>
      <c r="BN371" s="380"/>
      <c r="BO371" s="380"/>
      <c r="BP371" s="380"/>
      <c r="BQ371" s="380"/>
      <c r="BR371" s="380"/>
    </row>
    <row r="372" spans="1:70" ht="12.75" customHeight="1" x14ac:dyDescent="0.25">
      <c r="A372" s="380"/>
      <c r="B372" s="380"/>
      <c r="C372" s="380"/>
      <c r="D372" s="380"/>
      <c r="E372" s="511"/>
      <c r="F372" s="511"/>
      <c r="G372" s="582"/>
      <c r="H372" s="511"/>
      <c r="I372" s="511"/>
      <c r="J372" s="582"/>
      <c r="K372" s="511"/>
      <c r="L372" s="511"/>
      <c r="M372" s="582"/>
      <c r="N372" s="582"/>
      <c r="O372" s="582"/>
      <c r="P372" s="582"/>
      <c r="Q372" s="511"/>
      <c r="R372" s="511"/>
      <c r="S372" s="511"/>
      <c r="T372" s="639"/>
      <c r="U372" s="511"/>
      <c r="V372" s="511"/>
      <c r="W372" s="511"/>
      <c r="X372" s="511"/>
      <c r="Y372" s="380"/>
      <c r="Z372" s="380"/>
      <c r="AA372" s="380"/>
      <c r="AB372" s="380"/>
      <c r="AC372" s="380"/>
      <c r="AD372" s="671"/>
      <c r="AE372" s="380"/>
      <c r="AF372" s="380"/>
      <c r="AG372" s="380"/>
      <c r="AH372" s="671"/>
      <c r="AI372" s="380"/>
      <c r="AJ372" s="583"/>
      <c r="AK372" s="583"/>
      <c r="AL372" s="511"/>
      <c r="AM372" s="584"/>
      <c r="AN372" s="584"/>
      <c r="AO372" s="584"/>
      <c r="AP372" s="671"/>
      <c r="AQ372" s="584"/>
      <c r="AR372" s="583"/>
      <c r="AS372" s="583"/>
      <c r="AT372" s="585"/>
      <c r="AU372" s="585"/>
      <c r="AV372" s="585"/>
      <c r="AW372" s="585"/>
      <c r="AX372" s="673"/>
      <c r="AY372" s="380"/>
      <c r="AZ372" s="380"/>
      <c r="BA372" s="380"/>
      <c r="BB372" s="380"/>
      <c r="BC372" s="380"/>
      <c r="BD372" s="380"/>
      <c r="BE372" s="380"/>
      <c r="BF372" s="380"/>
      <c r="BG372" s="380"/>
      <c r="BH372" s="380"/>
      <c r="BI372" s="511"/>
      <c r="BJ372" s="380"/>
      <c r="BK372" s="380"/>
      <c r="BL372" s="380"/>
      <c r="BM372" s="380"/>
      <c r="BN372" s="380"/>
      <c r="BO372" s="380"/>
      <c r="BP372" s="380"/>
      <c r="BQ372" s="380"/>
      <c r="BR372" s="380"/>
    </row>
    <row r="373" spans="1:70" ht="12.75" customHeight="1" x14ac:dyDescent="0.25">
      <c r="A373" s="380"/>
      <c r="B373" s="380"/>
      <c r="C373" s="380"/>
      <c r="D373" s="380"/>
      <c r="E373" s="511"/>
      <c r="F373" s="511"/>
      <c r="G373" s="582"/>
      <c r="H373" s="511"/>
      <c r="I373" s="511"/>
      <c r="J373" s="582"/>
      <c r="K373" s="511"/>
      <c r="L373" s="511"/>
      <c r="M373" s="582"/>
      <c r="N373" s="582"/>
      <c r="O373" s="582"/>
      <c r="P373" s="582"/>
      <c r="Q373" s="511"/>
      <c r="R373" s="511"/>
      <c r="S373" s="511"/>
      <c r="T373" s="639"/>
      <c r="U373" s="511"/>
      <c r="V373" s="511"/>
      <c r="W373" s="511"/>
      <c r="X373" s="511"/>
      <c r="Y373" s="380"/>
      <c r="Z373" s="380"/>
      <c r="AA373" s="380"/>
      <c r="AB373" s="380"/>
      <c r="AC373" s="380"/>
      <c r="AD373" s="671"/>
      <c r="AE373" s="380"/>
      <c r="AF373" s="380"/>
      <c r="AG373" s="380"/>
      <c r="AH373" s="671"/>
      <c r="AI373" s="380"/>
      <c r="AJ373" s="583"/>
      <c r="AK373" s="583"/>
      <c r="AL373" s="511"/>
      <c r="AM373" s="584"/>
      <c r="AN373" s="584"/>
      <c r="AO373" s="584"/>
      <c r="AP373" s="671"/>
      <c r="AQ373" s="584"/>
      <c r="AR373" s="583"/>
      <c r="AS373" s="583"/>
      <c r="AT373" s="585"/>
      <c r="AU373" s="585"/>
      <c r="AV373" s="585"/>
      <c r="AW373" s="585"/>
      <c r="AX373" s="673"/>
      <c r="AY373" s="380"/>
      <c r="AZ373" s="380"/>
      <c r="BA373" s="380"/>
      <c r="BB373" s="380"/>
      <c r="BC373" s="380"/>
      <c r="BD373" s="380"/>
      <c r="BE373" s="380"/>
      <c r="BF373" s="380"/>
      <c r="BG373" s="380"/>
      <c r="BH373" s="380"/>
      <c r="BI373" s="511"/>
      <c r="BJ373" s="380"/>
      <c r="BK373" s="380"/>
      <c r="BL373" s="380"/>
      <c r="BM373" s="380"/>
      <c r="BN373" s="380"/>
      <c r="BO373" s="380"/>
      <c r="BP373" s="380"/>
      <c r="BQ373" s="380"/>
      <c r="BR373" s="380"/>
    </row>
    <row r="374" spans="1:70" ht="12.75" customHeight="1" x14ac:dyDescent="0.25">
      <c r="A374" s="380"/>
      <c r="B374" s="380"/>
      <c r="C374" s="380"/>
      <c r="D374" s="380"/>
      <c r="E374" s="511"/>
      <c r="F374" s="511"/>
      <c r="G374" s="582"/>
      <c r="H374" s="511"/>
      <c r="I374" s="511"/>
      <c r="J374" s="582"/>
      <c r="K374" s="511"/>
      <c r="L374" s="511"/>
      <c r="M374" s="582"/>
      <c r="N374" s="582"/>
      <c r="O374" s="582"/>
      <c r="P374" s="582"/>
      <c r="Q374" s="511"/>
      <c r="R374" s="511"/>
      <c r="S374" s="511"/>
      <c r="T374" s="639"/>
      <c r="U374" s="511"/>
      <c r="V374" s="511"/>
      <c r="W374" s="511"/>
      <c r="X374" s="511"/>
      <c r="Y374" s="380"/>
      <c r="Z374" s="380"/>
      <c r="AA374" s="380"/>
      <c r="AB374" s="380"/>
      <c r="AC374" s="380"/>
      <c r="AD374" s="671"/>
      <c r="AE374" s="380"/>
      <c r="AF374" s="380"/>
      <c r="AG374" s="380"/>
      <c r="AH374" s="671"/>
      <c r="AI374" s="380"/>
      <c r="AJ374" s="583"/>
      <c r="AK374" s="583"/>
      <c r="AL374" s="511"/>
      <c r="AM374" s="584"/>
      <c r="AN374" s="584"/>
      <c r="AO374" s="584"/>
      <c r="AP374" s="671"/>
      <c r="AQ374" s="584"/>
      <c r="AR374" s="583"/>
      <c r="AS374" s="583"/>
      <c r="AT374" s="585"/>
      <c r="AU374" s="585"/>
      <c r="AV374" s="585"/>
      <c r="AW374" s="585"/>
      <c r="AX374" s="673"/>
      <c r="AY374" s="380"/>
      <c r="AZ374" s="380"/>
      <c r="BA374" s="380"/>
      <c r="BB374" s="380"/>
      <c r="BC374" s="380"/>
      <c r="BD374" s="380"/>
      <c r="BE374" s="380"/>
      <c r="BF374" s="380"/>
      <c r="BG374" s="380"/>
      <c r="BH374" s="380"/>
      <c r="BI374" s="511"/>
      <c r="BJ374" s="380"/>
      <c r="BK374" s="380"/>
      <c r="BL374" s="380"/>
      <c r="BM374" s="380"/>
      <c r="BN374" s="380"/>
      <c r="BO374" s="380"/>
      <c r="BP374" s="380"/>
      <c r="BQ374" s="380"/>
      <c r="BR374" s="380"/>
    </row>
    <row r="375" spans="1:70" ht="12.75" customHeight="1" x14ac:dyDescent="0.25">
      <c r="A375" s="380"/>
      <c r="B375" s="380"/>
      <c r="C375" s="380"/>
      <c r="D375" s="380"/>
      <c r="E375" s="511"/>
      <c r="F375" s="511"/>
      <c r="G375" s="582"/>
      <c r="H375" s="511"/>
      <c r="I375" s="511"/>
      <c r="J375" s="582"/>
      <c r="K375" s="511"/>
      <c r="L375" s="511"/>
      <c r="M375" s="582"/>
      <c r="N375" s="582"/>
      <c r="O375" s="582"/>
      <c r="P375" s="582"/>
      <c r="Q375" s="511"/>
      <c r="R375" s="511"/>
      <c r="S375" s="511"/>
      <c r="T375" s="639"/>
      <c r="U375" s="511"/>
      <c r="V375" s="511"/>
      <c r="W375" s="511"/>
      <c r="X375" s="511"/>
      <c r="Y375" s="380"/>
      <c r="Z375" s="380"/>
      <c r="AA375" s="380"/>
      <c r="AB375" s="380"/>
      <c r="AC375" s="380"/>
      <c r="AD375" s="671"/>
      <c r="AE375" s="380"/>
      <c r="AF375" s="380"/>
      <c r="AG375" s="380"/>
      <c r="AH375" s="671"/>
      <c r="AI375" s="380"/>
      <c r="AJ375" s="583"/>
      <c r="AK375" s="583"/>
      <c r="AL375" s="511"/>
      <c r="AM375" s="584"/>
      <c r="AN375" s="584"/>
      <c r="AO375" s="584"/>
      <c r="AP375" s="671"/>
      <c r="AQ375" s="584"/>
      <c r="AR375" s="583"/>
      <c r="AS375" s="583"/>
      <c r="AT375" s="585"/>
      <c r="AU375" s="585"/>
      <c r="AV375" s="585"/>
      <c r="AW375" s="585"/>
      <c r="AX375" s="673"/>
      <c r="AY375" s="380"/>
      <c r="AZ375" s="380"/>
      <c r="BA375" s="380"/>
      <c r="BB375" s="380"/>
      <c r="BC375" s="380"/>
      <c r="BD375" s="380"/>
      <c r="BE375" s="380"/>
      <c r="BF375" s="380"/>
      <c r="BG375" s="380"/>
      <c r="BH375" s="380"/>
      <c r="BI375" s="511"/>
      <c r="BJ375" s="380"/>
      <c r="BK375" s="380"/>
      <c r="BL375" s="380"/>
      <c r="BM375" s="380"/>
      <c r="BN375" s="380"/>
      <c r="BO375" s="380"/>
      <c r="BP375" s="380"/>
      <c r="BQ375" s="380"/>
      <c r="BR375" s="380"/>
    </row>
    <row r="376" spans="1:70" ht="12.75" customHeight="1" x14ac:dyDescent="0.25">
      <c r="A376" s="380"/>
      <c r="B376" s="380"/>
      <c r="C376" s="380"/>
      <c r="D376" s="380"/>
      <c r="E376" s="511"/>
      <c r="F376" s="511"/>
      <c r="G376" s="582"/>
      <c r="H376" s="511"/>
      <c r="I376" s="511"/>
      <c r="J376" s="582"/>
      <c r="K376" s="511"/>
      <c r="L376" s="511"/>
      <c r="M376" s="582"/>
      <c r="N376" s="582"/>
      <c r="O376" s="582"/>
      <c r="P376" s="582"/>
      <c r="Q376" s="511"/>
      <c r="R376" s="511"/>
      <c r="S376" s="511"/>
      <c r="T376" s="639"/>
      <c r="U376" s="511"/>
      <c r="V376" s="511"/>
      <c r="W376" s="511"/>
      <c r="X376" s="511"/>
      <c r="Y376" s="380"/>
      <c r="Z376" s="380"/>
      <c r="AA376" s="380"/>
      <c r="AB376" s="380"/>
      <c r="AC376" s="380"/>
      <c r="AD376" s="671"/>
      <c r="AE376" s="380"/>
      <c r="AF376" s="380"/>
      <c r="AG376" s="380"/>
      <c r="AH376" s="671"/>
      <c r="AI376" s="380"/>
      <c r="AJ376" s="583"/>
      <c r="AK376" s="583"/>
      <c r="AL376" s="511"/>
      <c r="AM376" s="584"/>
      <c r="AN376" s="584"/>
      <c r="AO376" s="584"/>
      <c r="AP376" s="671"/>
      <c r="AQ376" s="584"/>
      <c r="AR376" s="583"/>
      <c r="AS376" s="583"/>
      <c r="AT376" s="585"/>
      <c r="AU376" s="585"/>
      <c r="AV376" s="585"/>
      <c r="AW376" s="585"/>
      <c r="AX376" s="673"/>
      <c r="AY376" s="380"/>
      <c r="AZ376" s="380"/>
      <c r="BA376" s="380"/>
      <c r="BB376" s="380"/>
      <c r="BC376" s="380"/>
      <c r="BD376" s="380"/>
      <c r="BE376" s="380"/>
      <c r="BF376" s="380"/>
      <c r="BG376" s="380"/>
      <c r="BH376" s="380"/>
      <c r="BI376" s="511"/>
      <c r="BJ376" s="380"/>
      <c r="BK376" s="380"/>
      <c r="BL376" s="380"/>
      <c r="BM376" s="380"/>
      <c r="BN376" s="380"/>
      <c r="BO376" s="380"/>
      <c r="BP376" s="380"/>
      <c r="BQ376" s="380"/>
      <c r="BR376" s="380"/>
    </row>
    <row r="377" spans="1:70" ht="12.75" customHeight="1" x14ac:dyDescent="0.25">
      <c r="A377" s="380"/>
      <c r="B377" s="380"/>
      <c r="C377" s="380"/>
      <c r="D377" s="380"/>
      <c r="E377" s="511"/>
      <c r="F377" s="511"/>
      <c r="G377" s="582"/>
      <c r="H377" s="511"/>
      <c r="I377" s="511"/>
      <c r="J377" s="582"/>
      <c r="K377" s="511"/>
      <c r="L377" s="511"/>
      <c r="M377" s="582"/>
      <c r="N377" s="582"/>
      <c r="O377" s="582"/>
      <c r="P377" s="582"/>
      <c r="Q377" s="511"/>
      <c r="R377" s="511"/>
      <c r="S377" s="511"/>
      <c r="T377" s="639"/>
      <c r="U377" s="511"/>
      <c r="V377" s="511"/>
      <c r="W377" s="511"/>
      <c r="X377" s="511"/>
      <c r="Y377" s="380"/>
      <c r="Z377" s="380"/>
      <c r="AA377" s="380"/>
      <c r="AB377" s="380"/>
      <c r="AC377" s="380"/>
      <c r="AD377" s="671"/>
      <c r="AE377" s="380"/>
      <c r="AF377" s="380"/>
      <c r="AG377" s="380"/>
      <c r="AH377" s="671"/>
      <c r="AI377" s="380"/>
      <c r="AJ377" s="583"/>
      <c r="AK377" s="583"/>
      <c r="AL377" s="511"/>
      <c r="AM377" s="584"/>
      <c r="AN377" s="584"/>
      <c r="AO377" s="584"/>
      <c r="AP377" s="671"/>
      <c r="AQ377" s="584"/>
      <c r="AR377" s="583"/>
      <c r="AS377" s="583"/>
      <c r="AT377" s="585"/>
      <c r="AU377" s="585"/>
      <c r="AV377" s="585"/>
      <c r="AW377" s="585"/>
      <c r="AX377" s="673"/>
      <c r="AY377" s="380"/>
      <c r="AZ377" s="380"/>
      <c r="BA377" s="380"/>
      <c r="BB377" s="380"/>
      <c r="BC377" s="380"/>
      <c r="BD377" s="380"/>
      <c r="BE377" s="380"/>
      <c r="BF377" s="380"/>
      <c r="BG377" s="380"/>
      <c r="BH377" s="380"/>
      <c r="BI377" s="511"/>
      <c r="BJ377" s="380"/>
      <c r="BK377" s="380"/>
      <c r="BL377" s="380"/>
      <c r="BM377" s="380"/>
      <c r="BN377" s="380"/>
      <c r="BO377" s="380"/>
      <c r="BP377" s="380"/>
      <c r="BQ377" s="380"/>
      <c r="BR377" s="380"/>
    </row>
    <row r="378" spans="1:70" ht="12.75" customHeight="1" x14ac:dyDescent="0.25">
      <c r="A378" s="380"/>
      <c r="B378" s="380"/>
      <c r="C378" s="380"/>
      <c r="D378" s="380"/>
      <c r="E378" s="511"/>
      <c r="F378" s="511"/>
      <c r="G378" s="582"/>
      <c r="H378" s="511"/>
      <c r="I378" s="511"/>
      <c r="J378" s="582"/>
      <c r="K378" s="511"/>
      <c r="L378" s="511"/>
      <c r="M378" s="582"/>
      <c r="N378" s="582"/>
      <c r="O378" s="582"/>
      <c r="P378" s="582"/>
      <c r="Q378" s="511"/>
      <c r="R378" s="511"/>
      <c r="S378" s="511"/>
      <c r="T378" s="639"/>
      <c r="U378" s="511"/>
      <c r="V378" s="511"/>
      <c r="W378" s="511"/>
      <c r="X378" s="511"/>
      <c r="Y378" s="380"/>
      <c r="Z378" s="380"/>
      <c r="AA378" s="380"/>
      <c r="AB378" s="380"/>
      <c r="AC378" s="380"/>
      <c r="AD378" s="671"/>
      <c r="AE378" s="380"/>
      <c r="AF378" s="380"/>
      <c r="AG378" s="380"/>
      <c r="AH378" s="671"/>
      <c r="AI378" s="380"/>
      <c r="AJ378" s="583"/>
      <c r="AK378" s="583"/>
      <c r="AL378" s="511"/>
      <c r="AM378" s="584"/>
      <c r="AN378" s="584"/>
      <c r="AO378" s="584"/>
      <c r="AP378" s="671"/>
      <c r="AQ378" s="584"/>
      <c r="AR378" s="583"/>
      <c r="AS378" s="583"/>
      <c r="AT378" s="585"/>
      <c r="AU378" s="585"/>
      <c r="AV378" s="585"/>
      <c r="AW378" s="585"/>
      <c r="AX378" s="673"/>
      <c r="AY378" s="380"/>
      <c r="AZ378" s="380"/>
      <c r="BA378" s="380"/>
      <c r="BB378" s="380"/>
      <c r="BC378" s="380"/>
      <c r="BD378" s="380"/>
      <c r="BE378" s="380"/>
      <c r="BF378" s="380"/>
      <c r="BG378" s="380"/>
      <c r="BH378" s="380"/>
      <c r="BI378" s="511"/>
      <c r="BJ378" s="380"/>
      <c r="BK378" s="380"/>
      <c r="BL378" s="380"/>
      <c r="BM378" s="380"/>
      <c r="BN378" s="380"/>
      <c r="BO378" s="380"/>
      <c r="BP378" s="380"/>
      <c r="BQ378" s="380"/>
      <c r="BR378" s="380"/>
    </row>
    <row r="379" spans="1:70" ht="12.75" customHeight="1" x14ac:dyDescent="0.25">
      <c r="A379" s="380"/>
      <c r="B379" s="380"/>
      <c r="C379" s="380"/>
      <c r="D379" s="380"/>
      <c r="E379" s="511"/>
      <c r="F379" s="511"/>
      <c r="G379" s="582"/>
      <c r="H379" s="511"/>
      <c r="I379" s="511"/>
      <c r="J379" s="582"/>
      <c r="K379" s="511"/>
      <c r="L379" s="511"/>
      <c r="M379" s="582"/>
      <c r="N379" s="582"/>
      <c r="O379" s="582"/>
      <c r="P379" s="582"/>
      <c r="Q379" s="511"/>
      <c r="R379" s="511"/>
      <c r="S379" s="511"/>
      <c r="T379" s="639"/>
      <c r="U379" s="511"/>
      <c r="V379" s="511"/>
      <c r="W379" s="511"/>
      <c r="X379" s="511"/>
      <c r="Y379" s="380"/>
      <c r="Z379" s="380"/>
      <c r="AA379" s="380"/>
      <c r="AB379" s="380"/>
      <c r="AC379" s="380"/>
      <c r="AD379" s="671"/>
      <c r="AE379" s="380"/>
      <c r="AF379" s="380"/>
      <c r="AG379" s="380"/>
      <c r="AH379" s="671"/>
      <c r="AI379" s="380"/>
      <c r="AJ379" s="583"/>
      <c r="AK379" s="583"/>
      <c r="AL379" s="511"/>
      <c r="AM379" s="584"/>
      <c r="AN379" s="584"/>
      <c r="AO379" s="584"/>
      <c r="AP379" s="671"/>
      <c r="AQ379" s="584"/>
      <c r="AR379" s="583"/>
      <c r="AS379" s="583"/>
      <c r="AT379" s="585"/>
      <c r="AU379" s="585"/>
      <c r="AV379" s="585"/>
      <c r="AW379" s="585"/>
      <c r="AX379" s="673"/>
      <c r="AY379" s="380"/>
      <c r="AZ379" s="380"/>
      <c r="BA379" s="380"/>
      <c r="BB379" s="380"/>
      <c r="BC379" s="380"/>
      <c r="BD379" s="380"/>
      <c r="BE379" s="380"/>
      <c r="BF379" s="380"/>
      <c r="BG379" s="380"/>
      <c r="BH379" s="380"/>
      <c r="BI379" s="511"/>
      <c r="BJ379" s="380"/>
      <c r="BK379" s="380"/>
      <c r="BL379" s="380"/>
      <c r="BM379" s="380"/>
      <c r="BN379" s="380"/>
      <c r="BO379" s="380"/>
      <c r="BP379" s="380"/>
      <c r="BQ379" s="380"/>
      <c r="BR379" s="380"/>
    </row>
    <row r="380" spans="1:70" ht="12.75" customHeight="1" x14ac:dyDescent="0.25">
      <c r="A380" s="380"/>
      <c r="B380" s="380"/>
      <c r="C380" s="380"/>
      <c r="D380" s="380"/>
      <c r="E380" s="511"/>
      <c r="F380" s="511"/>
      <c r="G380" s="582"/>
      <c r="H380" s="511"/>
      <c r="I380" s="511"/>
      <c r="J380" s="582"/>
      <c r="K380" s="511"/>
      <c r="L380" s="511"/>
      <c r="M380" s="582"/>
      <c r="N380" s="582"/>
      <c r="O380" s="582"/>
      <c r="P380" s="582"/>
      <c r="Q380" s="511"/>
      <c r="R380" s="511"/>
      <c r="S380" s="511"/>
      <c r="T380" s="639"/>
      <c r="U380" s="511"/>
      <c r="V380" s="511"/>
      <c r="W380" s="511"/>
      <c r="X380" s="511"/>
      <c r="Y380" s="380"/>
      <c r="Z380" s="380"/>
      <c r="AA380" s="380"/>
      <c r="AB380" s="380"/>
      <c r="AC380" s="380"/>
      <c r="AD380" s="671"/>
      <c r="AE380" s="380"/>
      <c r="AF380" s="380"/>
      <c r="AG380" s="380"/>
      <c r="AH380" s="671"/>
      <c r="AI380" s="380"/>
      <c r="AJ380" s="583"/>
      <c r="AK380" s="583"/>
      <c r="AL380" s="511"/>
      <c r="AM380" s="584"/>
      <c r="AN380" s="584"/>
      <c r="AO380" s="584"/>
      <c r="AP380" s="671"/>
      <c r="AQ380" s="584"/>
      <c r="AR380" s="583"/>
      <c r="AS380" s="583"/>
      <c r="AT380" s="585"/>
      <c r="AU380" s="585"/>
      <c r="AV380" s="585"/>
      <c r="AW380" s="585"/>
      <c r="AX380" s="673"/>
      <c r="AY380" s="380"/>
      <c r="AZ380" s="380"/>
      <c r="BA380" s="380"/>
      <c r="BB380" s="380"/>
      <c r="BC380" s="380"/>
      <c r="BD380" s="380"/>
      <c r="BE380" s="380"/>
      <c r="BF380" s="380"/>
      <c r="BG380" s="380"/>
      <c r="BH380" s="380"/>
      <c r="BI380" s="511"/>
      <c r="BJ380" s="380"/>
      <c r="BK380" s="380"/>
      <c r="BL380" s="380"/>
      <c r="BM380" s="380"/>
      <c r="BN380" s="380"/>
      <c r="BO380" s="380"/>
      <c r="BP380" s="380"/>
      <c r="BQ380" s="380"/>
      <c r="BR380" s="380"/>
    </row>
    <row r="381" spans="1:70" ht="12.75" customHeight="1" x14ac:dyDescent="0.25">
      <c r="A381" s="380"/>
      <c r="B381" s="380"/>
      <c r="C381" s="380"/>
      <c r="D381" s="380"/>
      <c r="E381" s="511"/>
      <c r="F381" s="511"/>
      <c r="G381" s="582"/>
      <c r="H381" s="511"/>
      <c r="I381" s="511"/>
      <c r="J381" s="582"/>
      <c r="K381" s="511"/>
      <c r="L381" s="511"/>
      <c r="M381" s="582"/>
      <c r="N381" s="582"/>
      <c r="O381" s="582"/>
      <c r="P381" s="582"/>
      <c r="Q381" s="511"/>
      <c r="R381" s="511"/>
      <c r="S381" s="511"/>
      <c r="T381" s="639"/>
      <c r="U381" s="511"/>
      <c r="V381" s="511"/>
      <c r="W381" s="511"/>
      <c r="X381" s="511"/>
      <c r="Y381" s="380"/>
      <c r="Z381" s="380"/>
      <c r="AA381" s="380"/>
      <c r="AB381" s="380"/>
      <c r="AC381" s="380"/>
      <c r="AD381" s="671"/>
      <c r="AE381" s="380"/>
      <c r="AF381" s="380"/>
      <c r="AG381" s="380"/>
      <c r="AH381" s="671"/>
      <c r="AI381" s="380"/>
      <c r="AJ381" s="583"/>
      <c r="AK381" s="583"/>
      <c r="AL381" s="511"/>
      <c r="AM381" s="584"/>
      <c r="AN381" s="584"/>
      <c r="AO381" s="584"/>
      <c r="AP381" s="671"/>
      <c r="AQ381" s="584"/>
      <c r="AR381" s="583"/>
      <c r="AS381" s="583"/>
      <c r="AT381" s="585"/>
      <c r="AU381" s="585"/>
      <c r="AV381" s="585"/>
      <c r="AW381" s="585"/>
      <c r="AX381" s="673"/>
      <c r="AY381" s="380"/>
      <c r="AZ381" s="380"/>
      <c r="BA381" s="380"/>
      <c r="BB381" s="380"/>
      <c r="BC381" s="380"/>
      <c r="BD381" s="380"/>
      <c r="BE381" s="380"/>
      <c r="BF381" s="380"/>
      <c r="BG381" s="380"/>
      <c r="BH381" s="380"/>
      <c r="BI381" s="511"/>
      <c r="BJ381" s="380"/>
      <c r="BK381" s="380"/>
      <c r="BL381" s="380"/>
      <c r="BM381" s="380"/>
      <c r="BN381" s="380"/>
      <c r="BO381" s="380"/>
      <c r="BP381" s="380"/>
      <c r="BQ381" s="380"/>
      <c r="BR381" s="380"/>
    </row>
    <row r="382" spans="1:70" ht="12.75" customHeight="1" x14ac:dyDescent="0.25">
      <c r="A382" s="380"/>
      <c r="B382" s="380"/>
      <c r="C382" s="380"/>
      <c r="D382" s="380"/>
      <c r="E382" s="511"/>
      <c r="F382" s="511"/>
      <c r="G382" s="582"/>
      <c r="H382" s="511"/>
      <c r="I382" s="511"/>
      <c r="J382" s="582"/>
      <c r="K382" s="511"/>
      <c r="L382" s="511"/>
      <c r="M382" s="582"/>
      <c r="N382" s="582"/>
      <c r="O382" s="582"/>
      <c r="P382" s="582"/>
      <c r="Q382" s="511"/>
      <c r="R382" s="511"/>
      <c r="S382" s="511"/>
      <c r="T382" s="639"/>
      <c r="U382" s="511"/>
      <c r="V382" s="511"/>
      <c r="W382" s="511"/>
      <c r="X382" s="511"/>
      <c r="Y382" s="380"/>
      <c r="Z382" s="380"/>
      <c r="AA382" s="380"/>
      <c r="AB382" s="380"/>
      <c r="AC382" s="380"/>
      <c r="AD382" s="671"/>
      <c r="AE382" s="380"/>
      <c r="AF382" s="380"/>
      <c r="AG382" s="380"/>
      <c r="AH382" s="671"/>
      <c r="AI382" s="380"/>
      <c r="AJ382" s="583"/>
      <c r="AK382" s="583"/>
      <c r="AL382" s="511"/>
      <c r="AM382" s="584"/>
      <c r="AN382" s="584"/>
      <c r="AO382" s="584"/>
      <c r="AP382" s="671"/>
      <c r="AQ382" s="584"/>
      <c r="AR382" s="583"/>
      <c r="AS382" s="583"/>
      <c r="AT382" s="585"/>
      <c r="AU382" s="585"/>
      <c r="AV382" s="585"/>
      <c r="AW382" s="585"/>
      <c r="AX382" s="673"/>
      <c r="AY382" s="380"/>
      <c r="AZ382" s="380"/>
      <c r="BA382" s="380"/>
      <c r="BB382" s="380"/>
      <c r="BC382" s="380"/>
      <c r="BD382" s="380"/>
      <c r="BE382" s="380"/>
      <c r="BF382" s="380"/>
      <c r="BG382" s="380"/>
      <c r="BH382" s="380"/>
      <c r="BI382" s="511"/>
      <c r="BJ382" s="380"/>
      <c r="BK382" s="380"/>
      <c r="BL382" s="380"/>
      <c r="BM382" s="380"/>
      <c r="BN382" s="380"/>
      <c r="BO382" s="380"/>
      <c r="BP382" s="380"/>
      <c r="BQ382" s="380"/>
      <c r="BR382" s="380"/>
    </row>
    <row r="383" spans="1:70" ht="12.75" customHeight="1" x14ac:dyDescent="0.25">
      <c r="A383" s="380"/>
      <c r="B383" s="380"/>
      <c r="C383" s="380"/>
      <c r="D383" s="380"/>
      <c r="E383" s="511"/>
      <c r="F383" s="511"/>
      <c r="G383" s="582"/>
      <c r="H383" s="511"/>
      <c r="I383" s="511"/>
      <c r="J383" s="582"/>
      <c r="K383" s="511"/>
      <c r="L383" s="511"/>
      <c r="M383" s="582"/>
      <c r="N383" s="582"/>
      <c r="O383" s="582"/>
      <c r="P383" s="582"/>
      <c r="Q383" s="511"/>
      <c r="R383" s="511"/>
      <c r="S383" s="511"/>
      <c r="T383" s="639"/>
      <c r="U383" s="511"/>
      <c r="V383" s="511"/>
      <c r="W383" s="511"/>
      <c r="X383" s="511"/>
      <c r="Y383" s="380"/>
      <c r="Z383" s="380"/>
      <c r="AA383" s="380"/>
      <c r="AB383" s="380"/>
      <c r="AC383" s="380"/>
      <c r="AD383" s="671"/>
      <c r="AE383" s="380"/>
      <c r="AF383" s="380"/>
      <c r="AG383" s="380"/>
      <c r="AH383" s="671"/>
      <c r="AI383" s="380"/>
      <c r="AJ383" s="583"/>
      <c r="AK383" s="583"/>
      <c r="AL383" s="511"/>
      <c r="AM383" s="584"/>
      <c r="AN383" s="584"/>
      <c r="AO383" s="584"/>
      <c r="AP383" s="671"/>
      <c r="AQ383" s="584"/>
      <c r="AR383" s="583"/>
      <c r="AS383" s="583"/>
      <c r="AT383" s="585"/>
      <c r="AU383" s="585"/>
      <c r="AV383" s="585"/>
      <c r="AW383" s="585"/>
      <c r="AX383" s="673"/>
      <c r="AY383" s="380"/>
      <c r="AZ383" s="380"/>
      <c r="BA383" s="380"/>
      <c r="BB383" s="380"/>
      <c r="BC383" s="380"/>
      <c r="BD383" s="380"/>
      <c r="BE383" s="380"/>
      <c r="BF383" s="380"/>
      <c r="BG383" s="380"/>
      <c r="BH383" s="380"/>
      <c r="BI383" s="511"/>
      <c r="BJ383" s="380"/>
      <c r="BK383" s="380"/>
      <c r="BL383" s="380"/>
      <c r="BM383" s="380"/>
      <c r="BN383" s="380"/>
      <c r="BO383" s="380"/>
      <c r="BP383" s="380"/>
      <c r="BQ383" s="380"/>
      <c r="BR383" s="380"/>
    </row>
    <row r="384" spans="1:70" ht="12.75" customHeight="1" x14ac:dyDescent="0.25">
      <c r="A384" s="380"/>
      <c r="B384" s="380"/>
      <c r="C384" s="380"/>
      <c r="D384" s="380"/>
      <c r="E384" s="511"/>
      <c r="F384" s="511"/>
      <c r="G384" s="582"/>
      <c r="H384" s="511"/>
      <c r="I384" s="511"/>
      <c r="J384" s="582"/>
      <c r="K384" s="511"/>
      <c r="L384" s="511"/>
      <c r="M384" s="582"/>
      <c r="N384" s="582"/>
      <c r="O384" s="582"/>
      <c r="P384" s="582"/>
      <c r="Q384" s="511"/>
      <c r="R384" s="511"/>
      <c r="S384" s="511"/>
      <c r="T384" s="639"/>
      <c r="U384" s="511"/>
      <c r="V384" s="511"/>
      <c r="W384" s="511"/>
      <c r="X384" s="511"/>
      <c r="Y384" s="380"/>
      <c r="Z384" s="380"/>
      <c r="AA384" s="380"/>
      <c r="AB384" s="380"/>
      <c r="AC384" s="380"/>
      <c r="AD384" s="671"/>
      <c r="AE384" s="380"/>
      <c r="AF384" s="380"/>
      <c r="AG384" s="380"/>
      <c r="AH384" s="671"/>
      <c r="AI384" s="380"/>
      <c r="AJ384" s="583"/>
      <c r="AK384" s="583"/>
      <c r="AL384" s="511"/>
      <c r="AM384" s="584"/>
      <c r="AN384" s="584"/>
      <c r="AO384" s="584"/>
      <c r="AP384" s="671"/>
      <c r="AQ384" s="584"/>
      <c r="AR384" s="583"/>
      <c r="AS384" s="583"/>
      <c r="AT384" s="585"/>
      <c r="AU384" s="585"/>
      <c r="AV384" s="585"/>
      <c r="AW384" s="585"/>
      <c r="AX384" s="673"/>
      <c r="AY384" s="380"/>
      <c r="AZ384" s="380"/>
      <c r="BA384" s="380"/>
      <c r="BB384" s="380"/>
      <c r="BC384" s="380"/>
      <c r="BD384" s="380"/>
      <c r="BE384" s="380"/>
      <c r="BF384" s="380"/>
      <c r="BG384" s="380"/>
      <c r="BH384" s="380"/>
      <c r="BI384" s="511"/>
      <c r="BJ384" s="380"/>
      <c r="BK384" s="380"/>
      <c r="BL384" s="380"/>
      <c r="BM384" s="380"/>
      <c r="BN384" s="380"/>
      <c r="BO384" s="380"/>
      <c r="BP384" s="380"/>
      <c r="BQ384" s="380"/>
      <c r="BR384" s="380"/>
    </row>
    <row r="385" spans="1:70" ht="12.75" customHeight="1" x14ac:dyDescent="0.25">
      <c r="A385" s="380"/>
      <c r="B385" s="380"/>
      <c r="C385" s="380"/>
      <c r="D385" s="380"/>
      <c r="E385" s="511"/>
      <c r="F385" s="511"/>
      <c r="G385" s="582"/>
      <c r="H385" s="511"/>
      <c r="I385" s="511"/>
      <c r="J385" s="582"/>
      <c r="K385" s="511"/>
      <c r="L385" s="511"/>
      <c r="M385" s="582"/>
      <c r="N385" s="582"/>
      <c r="O385" s="582"/>
      <c r="P385" s="582"/>
      <c r="Q385" s="511"/>
      <c r="R385" s="511"/>
      <c r="S385" s="511"/>
      <c r="T385" s="639"/>
      <c r="U385" s="511"/>
      <c r="V385" s="511"/>
      <c r="W385" s="511"/>
      <c r="X385" s="511"/>
      <c r="Y385" s="380"/>
      <c r="Z385" s="380"/>
      <c r="AA385" s="380"/>
      <c r="AB385" s="380"/>
      <c r="AC385" s="380"/>
      <c r="AD385" s="671"/>
      <c r="AE385" s="380"/>
      <c r="AF385" s="380"/>
      <c r="AG385" s="380"/>
      <c r="AH385" s="671"/>
      <c r="AI385" s="380"/>
      <c r="AJ385" s="583"/>
      <c r="AK385" s="583"/>
      <c r="AL385" s="511"/>
      <c r="AM385" s="584"/>
      <c r="AN385" s="584"/>
      <c r="AO385" s="584"/>
      <c r="AP385" s="671"/>
      <c r="AQ385" s="584"/>
      <c r="AR385" s="583"/>
      <c r="AS385" s="583"/>
      <c r="AT385" s="585"/>
      <c r="AU385" s="585"/>
      <c r="AV385" s="585"/>
      <c r="AW385" s="585"/>
      <c r="AX385" s="673"/>
      <c r="AY385" s="380"/>
      <c r="AZ385" s="380"/>
      <c r="BA385" s="380"/>
      <c r="BB385" s="380"/>
      <c r="BC385" s="380"/>
      <c r="BD385" s="380"/>
      <c r="BE385" s="380"/>
      <c r="BF385" s="380"/>
      <c r="BG385" s="380"/>
      <c r="BH385" s="380"/>
      <c r="BI385" s="511"/>
      <c r="BJ385" s="380"/>
      <c r="BK385" s="380"/>
      <c r="BL385" s="380"/>
      <c r="BM385" s="380"/>
      <c r="BN385" s="380"/>
      <c r="BO385" s="380"/>
      <c r="BP385" s="380"/>
      <c r="BQ385" s="380"/>
      <c r="BR385" s="380"/>
    </row>
    <row r="386" spans="1:70" ht="12.75" customHeight="1" x14ac:dyDescent="0.25">
      <c r="A386" s="380"/>
      <c r="B386" s="380"/>
      <c r="C386" s="380"/>
      <c r="D386" s="380"/>
      <c r="E386" s="511"/>
      <c r="F386" s="511"/>
      <c r="G386" s="582"/>
      <c r="H386" s="511"/>
      <c r="I386" s="511"/>
      <c r="J386" s="582"/>
      <c r="K386" s="511"/>
      <c r="L386" s="511"/>
      <c r="M386" s="582"/>
      <c r="N386" s="582"/>
      <c r="O386" s="582"/>
      <c r="P386" s="582"/>
      <c r="Q386" s="511"/>
      <c r="R386" s="511"/>
      <c r="S386" s="511"/>
      <c r="T386" s="639"/>
      <c r="U386" s="511"/>
      <c r="V386" s="511"/>
      <c r="W386" s="511"/>
      <c r="X386" s="511"/>
      <c r="Y386" s="380"/>
      <c r="Z386" s="380"/>
      <c r="AA386" s="380"/>
      <c r="AB386" s="380"/>
      <c r="AC386" s="380"/>
      <c r="AD386" s="671"/>
      <c r="AE386" s="380"/>
      <c r="AF386" s="380"/>
      <c r="AG386" s="380"/>
      <c r="AH386" s="671"/>
      <c r="AI386" s="380"/>
      <c r="AJ386" s="583"/>
      <c r="AK386" s="583"/>
      <c r="AL386" s="511"/>
      <c r="AM386" s="584"/>
      <c r="AN386" s="584"/>
      <c r="AO386" s="584"/>
      <c r="AP386" s="671"/>
      <c r="AQ386" s="584"/>
      <c r="AR386" s="583"/>
      <c r="AS386" s="583"/>
      <c r="AT386" s="585"/>
      <c r="AU386" s="585"/>
      <c r="AV386" s="585"/>
      <c r="AW386" s="585"/>
      <c r="AX386" s="673"/>
      <c r="AY386" s="380"/>
      <c r="AZ386" s="380"/>
      <c r="BA386" s="380"/>
      <c r="BB386" s="380"/>
      <c r="BC386" s="380"/>
      <c r="BD386" s="380"/>
      <c r="BE386" s="380"/>
      <c r="BF386" s="380"/>
      <c r="BG386" s="380"/>
      <c r="BH386" s="380"/>
      <c r="BI386" s="511"/>
      <c r="BJ386" s="380"/>
      <c r="BK386" s="380"/>
      <c r="BL386" s="380"/>
      <c r="BM386" s="380"/>
      <c r="BN386" s="380"/>
      <c r="BO386" s="380"/>
      <c r="BP386" s="380"/>
      <c r="BQ386" s="380"/>
      <c r="BR386" s="380"/>
    </row>
    <row r="387" spans="1:70" ht="12.75" customHeight="1" x14ac:dyDescent="0.25">
      <c r="A387" s="380"/>
      <c r="B387" s="380"/>
      <c r="C387" s="380"/>
      <c r="D387" s="380"/>
      <c r="E387" s="511"/>
      <c r="F387" s="511"/>
      <c r="G387" s="582"/>
      <c r="H387" s="511"/>
      <c r="I387" s="511"/>
      <c r="J387" s="582"/>
      <c r="K387" s="511"/>
      <c r="L387" s="511"/>
      <c r="M387" s="582"/>
      <c r="N387" s="582"/>
      <c r="O387" s="582"/>
      <c r="P387" s="582"/>
      <c r="Q387" s="511"/>
      <c r="R387" s="511"/>
      <c r="S387" s="511"/>
      <c r="T387" s="639"/>
      <c r="U387" s="511"/>
      <c r="V387" s="511"/>
      <c r="W387" s="511"/>
      <c r="X387" s="511"/>
      <c r="Y387" s="380"/>
      <c r="Z387" s="380"/>
      <c r="AA387" s="380"/>
      <c r="AB387" s="380"/>
      <c r="AC387" s="380"/>
      <c r="AD387" s="671"/>
      <c r="AE387" s="380"/>
      <c r="AF387" s="380"/>
      <c r="AG387" s="380"/>
      <c r="AH387" s="671"/>
      <c r="AI387" s="380"/>
      <c r="AJ387" s="583"/>
      <c r="AK387" s="583"/>
      <c r="AL387" s="511"/>
      <c r="AM387" s="584"/>
      <c r="AN387" s="584"/>
      <c r="AO387" s="584"/>
      <c r="AP387" s="671"/>
      <c r="AQ387" s="584"/>
      <c r="AR387" s="583"/>
      <c r="AS387" s="583"/>
      <c r="AT387" s="585"/>
      <c r="AU387" s="585"/>
      <c r="AV387" s="585"/>
      <c r="AW387" s="585"/>
      <c r="AX387" s="673"/>
      <c r="AY387" s="380"/>
      <c r="AZ387" s="380"/>
      <c r="BA387" s="380"/>
      <c r="BB387" s="380"/>
      <c r="BC387" s="380"/>
      <c r="BD387" s="380"/>
      <c r="BE387" s="380"/>
      <c r="BF387" s="380"/>
      <c r="BG387" s="380"/>
      <c r="BH387" s="380"/>
      <c r="BI387" s="511"/>
      <c r="BJ387" s="380"/>
      <c r="BK387" s="380"/>
      <c r="BL387" s="380"/>
      <c r="BM387" s="380"/>
      <c r="BN387" s="380"/>
      <c r="BO387" s="380"/>
      <c r="BP387" s="380"/>
      <c r="BQ387" s="380"/>
      <c r="BR387" s="380"/>
    </row>
    <row r="388" spans="1:70" ht="12.75" customHeight="1" x14ac:dyDescent="0.25">
      <c r="A388" s="380"/>
      <c r="B388" s="380"/>
      <c r="C388" s="380"/>
      <c r="D388" s="380"/>
      <c r="E388" s="511"/>
      <c r="F388" s="511"/>
      <c r="G388" s="582"/>
      <c r="H388" s="511"/>
      <c r="I388" s="511"/>
      <c r="J388" s="582"/>
      <c r="K388" s="511"/>
      <c r="L388" s="511"/>
      <c r="M388" s="582"/>
      <c r="N388" s="582"/>
      <c r="O388" s="582"/>
      <c r="P388" s="582"/>
      <c r="Q388" s="511"/>
      <c r="R388" s="511"/>
      <c r="S388" s="511"/>
      <c r="T388" s="639"/>
      <c r="U388" s="511"/>
      <c r="V388" s="511"/>
      <c r="W388" s="511"/>
      <c r="X388" s="511"/>
      <c r="Y388" s="380"/>
      <c r="Z388" s="380"/>
      <c r="AA388" s="380"/>
      <c r="AB388" s="380"/>
      <c r="AC388" s="380"/>
      <c r="AD388" s="671"/>
      <c r="AE388" s="380"/>
      <c r="AF388" s="380"/>
      <c r="AG388" s="380"/>
      <c r="AH388" s="671"/>
      <c r="AI388" s="380"/>
      <c r="AJ388" s="583"/>
      <c r="AK388" s="583"/>
      <c r="AL388" s="511"/>
      <c r="AM388" s="584"/>
      <c r="AN388" s="584"/>
      <c r="AO388" s="584"/>
      <c r="AP388" s="671"/>
      <c r="AQ388" s="584"/>
      <c r="AR388" s="583"/>
      <c r="AS388" s="583"/>
      <c r="AT388" s="585"/>
      <c r="AU388" s="585"/>
      <c r="AV388" s="585"/>
      <c r="AW388" s="585"/>
      <c r="AX388" s="673"/>
      <c r="AY388" s="380"/>
      <c r="AZ388" s="380"/>
      <c r="BA388" s="380"/>
      <c r="BB388" s="380"/>
      <c r="BC388" s="380"/>
      <c r="BD388" s="380"/>
      <c r="BE388" s="380"/>
      <c r="BF388" s="380"/>
      <c r="BG388" s="380"/>
      <c r="BH388" s="380"/>
      <c r="BI388" s="511"/>
      <c r="BJ388" s="380"/>
      <c r="BK388" s="380"/>
      <c r="BL388" s="380"/>
      <c r="BM388" s="380"/>
      <c r="BN388" s="380"/>
      <c r="BO388" s="380"/>
      <c r="BP388" s="380"/>
      <c r="BQ388" s="380"/>
      <c r="BR388" s="380"/>
    </row>
    <row r="389" spans="1:70" ht="12.75" customHeight="1" x14ac:dyDescent="0.25">
      <c r="A389" s="380"/>
      <c r="B389" s="380"/>
      <c r="C389" s="380"/>
      <c r="D389" s="380"/>
      <c r="E389" s="511"/>
      <c r="F389" s="511"/>
      <c r="G389" s="582"/>
      <c r="H389" s="511"/>
      <c r="I389" s="511"/>
      <c r="J389" s="582"/>
      <c r="K389" s="511"/>
      <c r="L389" s="511"/>
      <c r="M389" s="582"/>
      <c r="N389" s="582"/>
      <c r="O389" s="582"/>
      <c r="P389" s="582"/>
      <c r="Q389" s="511"/>
      <c r="R389" s="511"/>
      <c r="S389" s="511"/>
      <c r="T389" s="639"/>
      <c r="U389" s="511"/>
      <c r="V389" s="511"/>
      <c r="W389" s="511"/>
      <c r="X389" s="511"/>
      <c r="Y389" s="380"/>
      <c r="Z389" s="380"/>
      <c r="AA389" s="380"/>
      <c r="AB389" s="380"/>
      <c r="AC389" s="380"/>
      <c r="AD389" s="671"/>
      <c r="AE389" s="380"/>
      <c r="AF389" s="380"/>
      <c r="AG389" s="380"/>
      <c r="AH389" s="671"/>
      <c r="AI389" s="380"/>
      <c r="AJ389" s="583"/>
      <c r="AK389" s="583"/>
      <c r="AL389" s="511"/>
      <c r="AM389" s="584"/>
      <c r="AN389" s="584"/>
      <c r="AO389" s="584"/>
      <c r="AP389" s="671"/>
      <c r="AQ389" s="584"/>
      <c r="AR389" s="583"/>
      <c r="AS389" s="583"/>
      <c r="AT389" s="585"/>
      <c r="AU389" s="585"/>
      <c r="AV389" s="585"/>
      <c r="AW389" s="585"/>
      <c r="AX389" s="673"/>
      <c r="AY389" s="380"/>
      <c r="AZ389" s="380"/>
      <c r="BA389" s="380"/>
      <c r="BB389" s="380"/>
      <c r="BC389" s="380"/>
      <c r="BD389" s="380"/>
      <c r="BE389" s="380"/>
      <c r="BF389" s="380"/>
      <c r="BG389" s="380"/>
      <c r="BH389" s="380"/>
      <c r="BI389" s="511"/>
      <c r="BJ389" s="380"/>
      <c r="BK389" s="380"/>
      <c r="BL389" s="380"/>
      <c r="BM389" s="380"/>
      <c r="BN389" s="380"/>
      <c r="BO389" s="380"/>
      <c r="BP389" s="380"/>
      <c r="BQ389" s="380"/>
      <c r="BR389" s="380"/>
    </row>
    <row r="390" spans="1:70" ht="12.75" customHeight="1" x14ac:dyDescent="0.25">
      <c r="A390" s="380"/>
      <c r="B390" s="380"/>
      <c r="C390" s="380"/>
      <c r="D390" s="380"/>
      <c r="E390" s="511"/>
      <c r="F390" s="511"/>
      <c r="G390" s="582"/>
      <c r="H390" s="511"/>
      <c r="I390" s="511"/>
      <c r="J390" s="582"/>
      <c r="K390" s="511"/>
      <c r="L390" s="511"/>
      <c r="M390" s="582"/>
      <c r="N390" s="582"/>
      <c r="O390" s="582"/>
      <c r="P390" s="582"/>
      <c r="Q390" s="511"/>
      <c r="R390" s="511"/>
      <c r="S390" s="511"/>
      <c r="T390" s="639"/>
      <c r="U390" s="511"/>
      <c r="V390" s="511"/>
      <c r="W390" s="511"/>
      <c r="X390" s="511"/>
      <c r="Y390" s="380"/>
      <c r="Z390" s="380"/>
      <c r="AA390" s="380"/>
      <c r="AB390" s="380"/>
      <c r="AC390" s="380"/>
      <c r="AD390" s="671"/>
      <c r="AE390" s="380"/>
      <c r="AF390" s="380"/>
      <c r="AG390" s="380"/>
      <c r="AH390" s="671"/>
      <c r="AI390" s="380"/>
      <c r="AJ390" s="583"/>
      <c r="AK390" s="583"/>
      <c r="AL390" s="511"/>
      <c r="AM390" s="584"/>
      <c r="AN390" s="584"/>
      <c r="AO390" s="584"/>
      <c r="AP390" s="671"/>
      <c r="AQ390" s="584"/>
      <c r="AR390" s="583"/>
      <c r="AS390" s="583"/>
      <c r="AT390" s="585"/>
      <c r="AU390" s="585"/>
      <c r="AV390" s="585"/>
      <c r="AW390" s="585"/>
      <c r="AX390" s="673"/>
      <c r="AY390" s="380"/>
      <c r="AZ390" s="380"/>
      <c r="BA390" s="380"/>
      <c r="BB390" s="380"/>
      <c r="BC390" s="380"/>
      <c r="BD390" s="380"/>
      <c r="BE390" s="380"/>
      <c r="BF390" s="380"/>
      <c r="BG390" s="380"/>
      <c r="BH390" s="380"/>
      <c r="BI390" s="511"/>
      <c r="BJ390" s="380"/>
      <c r="BK390" s="380"/>
      <c r="BL390" s="380"/>
      <c r="BM390" s="380"/>
      <c r="BN390" s="380"/>
      <c r="BO390" s="380"/>
      <c r="BP390" s="380"/>
      <c r="BQ390" s="380"/>
      <c r="BR390" s="380"/>
    </row>
    <row r="391" spans="1:70" ht="12.75" customHeight="1" x14ac:dyDescent="0.25">
      <c r="A391" s="380"/>
      <c r="B391" s="380"/>
      <c r="C391" s="380"/>
      <c r="D391" s="380"/>
      <c r="E391" s="511"/>
      <c r="F391" s="511"/>
      <c r="G391" s="582"/>
      <c r="H391" s="511"/>
      <c r="I391" s="511"/>
      <c r="J391" s="582"/>
      <c r="K391" s="511"/>
      <c r="L391" s="511"/>
      <c r="M391" s="582"/>
      <c r="N391" s="582"/>
      <c r="O391" s="582"/>
      <c r="P391" s="582"/>
      <c r="Q391" s="511"/>
      <c r="R391" s="511"/>
      <c r="S391" s="511"/>
      <c r="T391" s="639"/>
      <c r="U391" s="511"/>
      <c r="V391" s="511"/>
      <c r="W391" s="511"/>
      <c r="X391" s="511"/>
      <c r="Y391" s="380"/>
      <c r="Z391" s="380"/>
      <c r="AA391" s="380"/>
      <c r="AB391" s="380"/>
      <c r="AC391" s="380"/>
      <c r="AD391" s="671"/>
      <c r="AE391" s="380"/>
      <c r="AF391" s="380"/>
      <c r="AG391" s="380"/>
      <c r="AH391" s="671"/>
      <c r="AI391" s="380"/>
      <c r="AJ391" s="583"/>
      <c r="AK391" s="583"/>
      <c r="AL391" s="511"/>
      <c r="AM391" s="584"/>
      <c r="AN391" s="584"/>
      <c r="AO391" s="584"/>
      <c r="AP391" s="671"/>
      <c r="AQ391" s="584"/>
      <c r="AR391" s="583"/>
      <c r="AS391" s="583"/>
      <c r="AT391" s="585"/>
      <c r="AU391" s="585"/>
      <c r="AV391" s="585"/>
      <c r="AW391" s="585"/>
      <c r="AX391" s="673"/>
      <c r="AY391" s="380"/>
      <c r="AZ391" s="380"/>
      <c r="BA391" s="380"/>
      <c r="BB391" s="380"/>
      <c r="BC391" s="380"/>
      <c r="BD391" s="380"/>
      <c r="BE391" s="380"/>
      <c r="BF391" s="380"/>
      <c r="BG391" s="380"/>
      <c r="BH391" s="380"/>
      <c r="BI391" s="511"/>
      <c r="BJ391" s="380"/>
      <c r="BK391" s="380"/>
      <c r="BL391" s="380"/>
      <c r="BM391" s="380"/>
      <c r="BN391" s="380"/>
      <c r="BO391" s="380"/>
      <c r="BP391" s="380"/>
      <c r="BQ391" s="380"/>
      <c r="BR391" s="380"/>
    </row>
    <row r="392" spans="1:70" ht="12.75" customHeight="1" x14ac:dyDescent="0.25">
      <c r="A392" s="380"/>
      <c r="B392" s="380"/>
      <c r="C392" s="380"/>
      <c r="D392" s="380"/>
      <c r="E392" s="511"/>
      <c r="F392" s="511"/>
      <c r="G392" s="582"/>
      <c r="H392" s="511"/>
      <c r="I392" s="511"/>
      <c r="J392" s="582"/>
      <c r="K392" s="511"/>
      <c r="L392" s="511"/>
      <c r="M392" s="582"/>
      <c r="N392" s="582"/>
      <c r="O392" s="582"/>
      <c r="P392" s="582"/>
      <c r="Q392" s="511"/>
      <c r="R392" s="511"/>
      <c r="S392" s="511"/>
      <c r="T392" s="639"/>
      <c r="U392" s="511"/>
      <c r="V392" s="511"/>
      <c r="W392" s="511"/>
      <c r="X392" s="511"/>
      <c r="Y392" s="380"/>
      <c r="Z392" s="380"/>
      <c r="AA392" s="380"/>
      <c r="AB392" s="380"/>
      <c r="AC392" s="380"/>
      <c r="AD392" s="671"/>
      <c r="AE392" s="380"/>
      <c r="AF392" s="380"/>
      <c r="AG392" s="380"/>
      <c r="AH392" s="671"/>
      <c r="AI392" s="380"/>
      <c r="AJ392" s="583"/>
      <c r="AK392" s="583"/>
      <c r="AL392" s="511"/>
      <c r="AM392" s="584"/>
      <c r="AN392" s="584"/>
      <c r="AO392" s="584"/>
      <c r="AP392" s="671"/>
      <c r="AQ392" s="584"/>
      <c r="AR392" s="583"/>
      <c r="AS392" s="583"/>
      <c r="AT392" s="585"/>
      <c r="AU392" s="585"/>
      <c r="AV392" s="585"/>
      <c r="AW392" s="585"/>
      <c r="AX392" s="673"/>
      <c r="AY392" s="380"/>
      <c r="AZ392" s="380"/>
      <c r="BA392" s="380"/>
      <c r="BB392" s="380"/>
      <c r="BC392" s="380"/>
      <c r="BD392" s="380"/>
      <c r="BE392" s="380"/>
      <c r="BF392" s="380"/>
      <c r="BG392" s="380"/>
      <c r="BH392" s="380"/>
      <c r="BI392" s="511"/>
      <c r="BJ392" s="380"/>
      <c r="BK392" s="380"/>
      <c r="BL392" s="380"/>
      <c r="BM392" s="380"/>
      <c r="BN392" s="380"/>
      <c r="BO392" s="380"/>
      <c r="BP392" s="380"/>
      <c r="BQ392" s="380"/>
      <c r="BR392" s="380"/>
    </row>
    <row r="393" spans="1:70" ht="12.75" customHeight="1" x14ac:dyDescent="0.25">
      <c r="A393" s="380"/>
      <c r="B393" s="380"/>
      <c r="C393" s="380"/>
      <c r="D393" s="380"/>
      <c r="E393" s="511"/>
      <c r="F393" s="511"/>
      <c r="G393" s="582"/>
      <c r="H393" s="511"/>
      <c r="I393" s="511"/>
      <c r="J393" s="582"/>
      <c r="K393" s="511"/>
      <c r="L393" s="511"/>
      <c r="M393" s="582"/>
      <c r="N393" s="582"/>
      <c r="O393" s="582"/>
      <c r="P393" s="582"/>
      <c r="Q393" s="511"/>
      <c r="R393" s="511"/>
      <c r="S393" s="511"/>
      <c r="T393" s="639"/>
      <c r="U393" s="511"/>
      <c r="V393" s="511"/>
      <c r="W393" s="511"/>
      <c r="X393" s="511"/>
      <c r="Y393" s="380"/>
      <c r="Z393" s="380"/>
      <c r="AA393" s="380"/>
      <c r="AB393" s="380"/>
      <c r="AC393" s="380"/>
      <c r="AD393" s="671"/>
      <c r="AE393" s="380"/>
      <c r="AF393" s="380"/>
      <c r="AG393" s="380"/>
      <c r="AH393" s="671"/>
      <c r="AI393" s="380"/>
      <c r="AJ393" s="583"/>
      <c r="AK393" s="583"/>
      <c r="AL393" s="511"/>
      <c r="AM393" s="584"/>
      <c r="AN393" s="584"/>
      <c r="AO393" s="584"/>
      <c r="AP393" s="671"/>
      <c r="AQ393" s="584"/>
      <c r="AR393" s="583"/>
      <c r="AS393" s="583"/>
      <c r="AT393" s="585"/>
      <c r="AU393" s="585"/>
      <c r="AV393" s="585"/>
      <c r="AW393" s="585"/>
      <c r="AX393" s="673"/>
      <c r="AY393" s="380"/>
      <c r="AZ393" s="380"/>
      <c r="BA393" s="380"/>
      <c r="BB393" s="380"/>
      <c r="BC393" s="380"/>
      <c r="BD393" s="380"/>
      <c r="BE393" s="380"/>
      <c r="BF393" s="380"/>
      <c r="BG393" s="380"/>
      <c r="BH393" s="380"/>
      <c r="BI393" s="511"/>
      <c r="BJ393" s="380"/>
      <c r="BK393" s="380"/>
      <c r="BL393" s="380"/>
      <c r="BM393" s="380"/>
      <c r="BN393" s="380"/>
      <c r="BO393" s="380"/>
      <c r="BP393" s="380"/>
      <c r="BQ393" s="380"/>
      <c r="BR393" s="380"/>
    </row>
    <row r="394" spans="1:70" ht="12.75" customHeight="1" x14ac:dyDescent="0.25">
      <c r="A394" s="380"/>
      <c r="B394" s="380"/>
      <c r="C394" s="380"/>
      <c r="D394" s="380"/>
      <c r="E394" s="511"/>
      <c r="F394" s="511"/>
      <c r="G394" s="582"/>
      <c r="H394" s="511"/>
      <c r="I394" s="511"/>
      <c r="J394" s="582"/>
      <c r="K394" s="511"/>
      <c r="L394" s="511"/>
      <c r="M394" s="582"/>
      <c r="N394" s="582"/>
      <c r="O394" s="582"/>
      <c r="P394" s="582"/>
      <c r="Q394" s="511"/>
      <c r="R394" s="511"/>
      <c r="S394" s="511"/>
      <c r="T394" s="639"/>
      <c r="U394" s="511"/>
      <c r="V394" s="511"/>
      <c r="W394" s="511"/>
      <c r="X394" s="511"/>
      <c r="Y394" s="380"/>
      <c r="Z394" s="380"/>
      <c r="AA394" s="380"/>
      <c r="AB394" s="380"/>
      <c r="AC394" s="380"/>
      <c r="AD394" s="671"/>
      <c r="AE394" s="380"/>
      <c r="AF394" s="380"/>
      <c r="AG394" s="380"/>
      <c r="AH394" s="671"/>
      <c r="AI394" s="380"/>
      <c r="AJ394" s="583"/>
      <c r="AK394" s="583"/>
      <c r="AL394" s="511"/>
      <c r="AM394" s="584"/>
      <c r="AN394" s="584"/>
      <c r="AO394" s="584"/>
      <c r="AP394" s="671"/>
      <c r="AQ394" s="584"/>
      <c r="AR394" s="583"/>
      <c r="AS394" s="583"/>
      <c r="AT394" s="585"/>
      <c r="AU394" s="585"/>
      <c r="AV394" s="585"/>
      <c r="AW394" s="585"/>
      <c r="AX394" s="673"/>
      <c r="AY394" s="380"/>
      <c r="AZ394" s="380"/>
      <c r="BA394" s="380"/>
      <c r="BB394" s="380"/>
      <c r="BC394" s="380"/>
      <c r="BD394" s="380"/>
      <c r="BE394" s="380"/>
      <c r="BF394" s="380"/>
      <c r="BG394" s="380"/>
      <c r="BH394" s="380"/>
      <c r="BI394" s="511"/>
      <c r="BJ394" s="380"/>
      <c r="BK394" s="380"/>
      <c r="BL394" s="380"/>
      <c r="BM394" s="380"/>
      <c r="BN394" s="380"/>
      <c r="BO394" s="380"/>
      <c r="BP394" s="380"/>
      <c r="BQ394" s="380"/>
      <c r="BR394" s="380"/>
    </row>
    <row r="395" spans="1:70" ht="12.75" customHeight="1" x14ac:dyDescent="0.25">
      <c r="A395" s="380"/>
      <c r="B395" s="380"/>
      <c r="C395" s="380"/>
      <c r="D395" s="380"/>
      <c r="E395" s="511"/>
      <c r="F395" s="511"/>
      <c r="G395" s="582"/>
      <c r="H395" s="511"/>
      <c r="I395" s="511"/>
      <c r="J395" s="582"/>
      <c r="K395" s="511"/>
      <c r="L395" s="511"/>
      <c r="M395" s="582"/>
      <c r="N395" s="582"/>
      <c r="O395" s="582"/>
      <c r="P395" s="582"/>
      <c r="Q395" s="511"/>
      <c r="R395" s="511"/>
      <c r="S395" s="511"/>
      <c r="T395" s="639"/>
      <c r="U395" s="511"/>
      <c r="V395" s="511"/>
      <c r="W395" s="511"/>
      <c r="X395" s="511"/>
      <c r="Y395" s="380"/>
      <c r="Z395" s="380"/>
      <c r="AA395" s="380"/>
      <c r="AB395" s="380"/>
      <c r="AC395" s="380"/>
      <c r="AD395" s="671"/>
      <c r="AE395" s="380"/>
      <c r="AF395" s="380"/>
      <c r="AG395" s="380"/>
      <c r="AH395" s="671"/>
      <c r="AI395" s="380"/>
      <c r="AJ395" s="583"/>
      <c r="AK395" s="583"/>
      <c r="AL395" s="511"/>
      <c r="AM395" s="584"/>
      <c r="AN395" s="584"/>
      <c r="AO395" s="584"/>
      <c r="AP395" s="671"/>
      <c r="AQ395" s="584"/>
      <c r="AR395" s="583"/>
      <c r="AS395" s="583"/>
      <c r="AT395" s="585"/>
      <c r="AU395" s="585"/>
      <c r="AV395" s="585"/>
      <c r="AW395" s="585"/>
      <c r="AX395" s="673"/>
      <c r="AY395" s="380"/>
      <c r="AZ395" s="380"/>
      <c r="BA395" s="380"/>
      <c r="BB395" s="380"/>
      <c r="BC395" s="380"/>
      <c r="BD395" s="380"/>
      <c r="BE395" s="380"/>
      <c r="BF395" s="380"/>
      <c r="BG395" s="380"/>
      <c r="BH395" s="380"/>
      <c r="BI395" s="511"/>
      <c r="BJ395" s="380"/>
      <c r="BK395" s="380"/>
      <c r="BL395" s="380"/>
      <c r="BM395" s="380"/>
      <c r="BN395" s="380"/>
      <c r="BO395" s="380"/>
      <c r="BP395" s="380"/>
      <c r="BQ395" s="380"/>
      <c r="BR395" s="380"/>
    </row>
    <row r="396" spans="1:70" ht="12.75" customHeight="1" x14ac:dyDescent="0.25">
      <c r="A396" s="380"/>
      <c r="B396" s="380"/>
      <c r="C396" s="380"/>
      <c r="D396" s="380"/>
      <c r="E396" s="511"/>
      <c r="F396" s="511"/>
      <c r="G396" s="582"/>
      <c r="H396" s="511"/>
      <c r="I396" s="511"/>
      <c r="J396" s="582"/>
      <c r="K396" s="511"/>
      <c r="L396" s="511"/>
      <c r="M396" s="582"/>
      <c r="N396" s="582"/>
      <c r="O396" s="582"/>
      <c r="P396" s="582"/>
      <c r="Q396" s="511"/>
      <c r="R396" s="511"/>
      <c r="S396" s="511"/>
      <c r="T396" s="639"/>
      <c r="U396" s="511"/>
      <c r="V396" s="511"/>
      <c r="W396" s="511"/>
      <c r="X396" s="511"/>
      <c r="Y396" s="380"/>
      <c r="Z396" s="380"/>
      <c r="AA396" s="380"/>
      <c r="AB396" s="380"/>
      <c r="AC396" s="380"/>
      <c r="AD396" s="671"/>
      <c r="AE396" s="380"/>
      <c r="AF396" s="380"/>
      <c r="AG396" s="380"/>
      <c r="AH396" s="671"/>
      <c r="AI396" s="380"/>
      <c r="AJ396" s="583"/>
      <c r="AK396" s="583"/>
      <c r="AL396" s="511"/>
      <c r="AM396" s="584"/>
      <c r="AN396" s="584"/>
      <c r="AO396" s="584"/>
      <c r="AP396" s="671"/>
      <c r="AQ396" s="584"/>
      <c r="AR396" s="583"/>
      <c r="AS396" s="583"/>
      <c r="AT396" s="585"/>
      <c r="AU396" s="585"/>
      <c r="AV396" s="585"/>
      <c r="AW396" s="585"/>
      <c r="AX396" s="673"/>
      <c r="AY396" s="380"/>
      <c r="AZ396" s="380"/>
      <c r="BA396" s="380"/>
      <c r="BB396" s="380"/>
      <c r="BC396" s="380"/>
      <c r="BD396" s="380"/>
      <c r="BE396" s="380"/>
      <c r="BF396" s="380"/>
      <c r="BG396" s="380"/>
      <c r="BH396" s="380"/>
      <c r="BI396" s="511"/>
      <c r="BJ396" s="380"/>
      <c r="BK396" s="380"/>
      <c r="BL396" s="380"/>
      <c r="BM396" s="380"/>
      <c r="BN396" s="380"/>
      <c r="BO396" s="380"/>
      <c r="BP396" s="380"/>
      <c r="BQ396" s="380"/>
      <c r="BR396" s="380"/>
    </row>
    <row r="397" spans="1:70" ht="12.75" customHeight="1" x14ac:dyDescent="0.25">
      <c r="A397" s="380"/>
      <c r="B397" s="380"/>
      <c r="C397" s="380"/>
      <c r="D397" s="380"/>
      <c r="E397" s="511"/>
      <c r="F397" s="511"/>
      <c r="G397" s="582"/>
      <c r="H397" s="511"/>
      <c r="I397" s="511"/>
      <c r="J397" s="582"/>
      <c r="K397" s="511"/>
      <c r="L397" s="511"/>
      <c r="M397" s="582"/>
      <c r="N397" s="582"/>
      <c r="O397" s="582"/>
      <c r="P397" s="582"/>
      <c r="Q397" s="511"/>
      <c r="R397" s="511"/>
      <c r="S397" s="511"/>
      <c r="T397" s="639"/>
      <c r="U397" s="511"/>
      <c r="V397" s="511"/>
      <c r="W397" s="511"/>
      <c r="X397" s="511"/>
      <c r="Y397" s="380"/>
      <c r="Z397" s="380"/>
      <c r="AA397" s="380"/>
      <c r="AB397" s="380"/>
      <c r="AC397" s="380"/>
      <c r="AD397" s="671"/>
      <c r="AE397" s="380"/>
      <c r="AF397" s="380"/>
      <c r="AG397" s="380"/>
      <c r="AH397" s="671"/>
      <c r="AI397" s="380"/>
      <c r="AJ397" s="583"/>
      <c r="AK397" s="583"/>
      <c r="AL397" s="511"/>
      <c r="AM397" s="584"/>
      <c r="AN397" s="584"/>
      <c r="AO397" s="584"/>
      <c r="AP397" s="671"/>
      <c r="AQ397" s="584"/>
      <c r="AR397" s="583"/>
      <c r="AS397" s="583"/>
      <c r="AT397" s="585"/>
      <c r="AU397" s="585"/>
      <c r="AV397" s="585"/>
      <c r="AW397" s="585"/>
      <c r="AX397" s="673"/>
      <c r="AY397" s="380"/>
      <c r="AZ397" s="380"/>
      <c r="BA397" s="380"/>
      <c r="BB397" s="380"/>
      <c r="BC397" s="380"/>
      <c r="BD397" s="380"/>
      <c r="BE397" s="380"/>
      <c r="BF397" s="380"/>
      <c r="BG397" s="380"/>
      <c r="BH397" s="380"/>
      <c r="BI397" s="511"/>
      <c r="BJ397" s="380"/>
      <c r="BK397" s="380"/>
      <c r="BL397" s="380"/>
      <c r="BM397" s="380"/>
      <c r="BN397" s="380"/>
      <c r="BO397" s="380"/>
      <c r="BP397" s="380"/>
      <c r="BQ397" s="380"/>
      <c r="BR397" s="380"/>
    </row>
    <row r="398" spans="1:70" ht="12.75" customHeight="1" x14ac:dyDescent="0.25">
      <c r="A398" s="380"/>
      <c r="B398" s="380"/>
      <c r="C398" s="380"/>
      <c r="D398" s="380"/>
      <c r="E398" s="511"/>
      <c r="F398" s="511"/>
      <c r="G398" s="582"/>
      <c r="H398" s="511"/>
      <c r="I398" s="511"/>
      <c r="J398" s="582"/>
      <c r="K398" s="511"/>
      <c r="L398" s="511"/>
      <c r="M398" s="582"/>
      <c r="N398" s="582"/>
      <c r="O398" s="582"/>
      <c r="P398" s="582"/>
      <c r="Q398" s="511"/>
      <c r="R398" s="511"/>
      <c r="S398" s="511"/>
      <c r="T398" s="639"/>
      <c r="U398" s="511"/>
      <c r="V398" s="511"/>
      <c r="W398" s="511"/>
      <c r="X398" s="511"/>
      <c r="Y398" s="380"/>
      <c r="Z398" s="380"/>
      <c r="AA398" s="380"/>
      <c r="AB398" s="380"/>
      <c r="AC398" s="380"/>
      <c r="AD398" s="671"/>
      <c r="AE398" s="380"/>
      <c r="AF398" s="380"/>
      <c r="AG398" s="380"/>
      <c r="AH398" s="671"/>
      <c r="AI398" s="380"/>
      <c r="AJ398" s="583"/>
      <c r="AK398" s="583"/>
      <c r="AL398" s="511"/>
      <c r="AM398" s="584"/>
      <c r="AN398" s="584"/>
      <c r="AO398" s="584"/>
      <c r="AP398" s="671"/>
      <c r="AQ398" s="584"/>
      <c r="AR398" s="583"/>
      <c r="AS398" s="583"/>
      <c r="AT398" s="585"/>
      <c r="AU398" s="585"/>
      <c r="AV398" s="585"/>
      <c r="AW398" s="585"/>
      <c r="AX398" s="673"/>
      <c r="AY398" s="380"/>
      <c r="AZ398" s="380"/>
      <c r="BA398" s="380"/>
      <c r="BB398" s="380"/>
      <c r="BC398" s="380"/>
      <c r="BD398" s="380"/>
      <c r="BE398" s="380"/>
      <c r="BF398" s="380"/>
      <c r="BG398" s="380"/>
      <c r="BH398" s="380"/>
      <c r="BI398" s="511"/>
      <c r="BJ398" s="380"/>
      <c r="BK398" s="380"/>
      <c r="BL398" s="380"/>
      <c r="BM398" s="380"/>
      <c r="BN398" s="380"/>
      <c r="BO398" s="380"/>
      <c r="BP398" s="380"/>
      <c r="BQ398" s="380"/>
      <c r="BR398" s="380"/>
    </row>
    <row r="399" spans="1:70" ht="12.75" customHeight="1" x14ac:dyDescent="0.25">
      <c r="A399" s="380"/>
      <c r="B399" s="380"/>
      <c r="C399" s="380"/>
      <c r="D399" s="380"/>
      <c r="E399" s="511"/>
      <c r="F399" s="511"/>
      <c r="G399" s="582"/>
      <c r="H399" s="511"/>
      <c r="I399" s="511"/>
      <c r="J399" s="582"/>
      <c r="K399" s="511"/>
      <c r="L399" s="511"/>
      <c r="M399" s="582"/>
      <c r="N399" s="582"/>
      <c r="O399" s="582"/>
      <c r="P399" s="582"/>
      <c r="Q399" s="511"/>
      <c r="R399" s="511"/>
      <c r="S399" s="511"/>
      <c r="T399" s="639"/>
      <c r="U399" s="511"/>
      <c r="V399" s="511"/>
      <c r="W399" s="511"/>
      <c r="X399" s="511"/>
      <c r="Y399" s="380"/>
      <c r="Z399" s="380"/>
      <c r="AA399" s="380"/>
      <c r="AB399" s="380"/>
      <c r="AC399" s="380"/>
      <c r="AD399" s="671"/>
      <c r="AE399" s="380"/>
      <c r="AF399" s="380"/>
      <c r="AG399" s="380"/>
      <c r="AH399" s="671"/>
      <c r="AI399" s="380"/>
      <c r="AJ399" s="583"/>
      <c r="AK399" s="583"/>
      <c r="AL399" s="511"/>
      <c r="AM399" s="584"/>
      <c r="AN399" s="584"/>
      <c r="AO399" s="584"/>
      <c r="AP399" s="671"/>
      <c r="AQ399" s="584"/>
      <c r="AR399" s="583"/>
      <c r="AS399" s="583"/>
      <c r="AT399" s="585"/>
      <c r="AU399" s="585"/>
      <c r="AV399" s="585"/>
      <c r="AW399" s="585"/>
      <c r="AX399" s="673"/>
      <c r="AY399" s="380"/>
      <c r="AZ399" s="380"/>
      <c r="BA399" s="380"/>
      <c r="BB399" s="380"/>
      <c r="BC399" s="380"/>
      <c r="BD399" s="380"/>
      <c r="BE399" s="380"/>
      <c r="BF399" s="380"/>
      <c r="BG399" s="380"/>
      <c r="BH399" s="380"/>
      <c r="BI399" s="511"/>
      <c r="BJ399" s="380"/>
      <c r="BK399" s="380"/>
      <c r="BL399" s="380"/>
      <c r="BM399" s="380"/>
      <c r="BN399" s="380"/>
      <c r="BO399" s="380"/>
      <c r="BP399" s="380"/>
      <c r="BQ399" s="380"/>
      <c r="BR399" s="380"/>
    </row>
    <row r="400" spans="1:70" ht="12.75" customHeight="1" x14ac:dyDescent="0.25">
      <c r="A400" s="380"/>
      <c r="B400" s="380"/>
      <c r="C400" s="380"/>
      <c r="D400" s="380"/>
      <c r="E400" s="511"/>
      <c r="F400" s="511"/>
      <c r="G400" s="582"/>
      <c r="H400" s="511"/>
      <c r="I400" s="511"/>
      <c r="J400" s="582"/>
      <c r="K400" s="511"/>
      <c r="L400" s="511"/>
      <c r="M400" s="582"/>
      <c r="N400" s="582"/>
      <c r="O400" s="582"/>
      <c r="P400" s="582"/>
      <c r="Q400" s="511"/>
      <c r="R400" s="511"/>
      <c r="S400" s="511"/>
      <c r="T400" s="639"/>
      <c r="U400" s="511"/>
      <c r="V400" s="511"/>
      <c r="W400" s="511"/>
      <c r="X400" s="511"/>
      <c r="Y400" s="380"/>
      <c r="Z400" s="380"/>
      <c r="AA400" s="380"/>
      <c r="AB400" s="380"/>
      <c r="AC400" s="380"/>
      <c r="AD400" s="671"/>
      <c r="AE400" s="380"/>
      <c r="AF400" s="380"/>
      <c r="AG400" s="380"/>
      <c r="AH400" s="671"/>
      <c r="AI400" s="380"/>
      <c r="AJ400" s="583"/>
      <c r="AK400" s="583"/>
      <c r="AL400" s="511"/>
      <c r="AM400" s="584"/>
      <c r="AN400" s="584"/>
      <c r="AO400" s="584"/>
      <c r="AP400" s="671"/>
      <c r="AQ400" s="584"/>
      <c r="AR400" s="583"/>
      <c r="AS400" s="583"/>
      <c r="AT400" s="585"/>
      <c r="AU400" s="585"/>
      <c r="AV400" s="585"/>
      <c r="AW400" s="585"/>
      <c r="AX400" s="673"/>
      <c r="AY400" s="380"/>
      <c r="AZ400" s="380"/>
      <c r="BA400" s="380"/>
      <c r="BB400" s="380"/>
      <c r="BC400" s="380"/>
      <c r="BD400" s="380"/>
      <c r="BE400" s="380"/>
      <c r="BF400" s="380"/>
      <c r="BG400" s="380"/>
      <c r="BH400" s="380"/>
      <c r="BI400" s="511"/>
      <c r="BJ400" s="380"/>
      <c r="BK400" s="380"/>
      <c r="BL400" s="380"/>
      <c r="BM400" s="380"/>
      <c r="BN400" s="380"/>
      <c r="BO400" s="380"/>
      <c r="BP400" s="380"/>
      <c r="BQ400" s="380"/>
      <c r="BR400" s="380"/>
    </row>
    <row r="401" spans="1:70" ht="12.75" customHeight="1" x14ac:dyDescent="0.25">
      <c r="A401" s="380"/>
      <c r="B401" s="380"/>
      <c r="C401" s="380"/>
      <c r="D401" s="380"/>
      <c r="E401" s="511"/>
      <c r="F401" s="511"/>
      <c r="G401" s="582"/>
      <c r="H401" s="511"/>
      <c r="I401" s="511"/>
      <c r="J401" s="582"/>
      <c r="K401" s="511"/>
      <c r="L401" s="511"/>
      <c r="M401" s="582"/>
      <c r="N401" s="582"/>
      <c r="O401" s="582"/>
      <c r="P401" s="582"/>
      <c r="Q401" s="511"/>
      <c r="R401" s="511"/>
      <c r="S401" s="511"/>
      <c r="T401" s="639"/>
      <c r="U401" s="511"/>
      <c r="V401" s="511"/>
      <c r="W401" s="511"/>
      <c r="X401" s="511"/>
      <c r="Y401" s="380"/>
      <c r="Z401" s="380"/>
      <c r="AA401" s="380"/>
      <c r="AB401" s="380"/>
      <c r="AC401" s="380"/>
      <c r="AD401" s="671"/>
      <c r="AE401" s="380"/>
      <c r="AF401" s="380"/>
      <c r="AG401" s="380"/>
      <c r="AH401" s="671"/>
      <c r="AI401" s="380"/>
      <c r="AJ401" s="583"/>
      <c r="AK401" s="583"/>
      <c r="AL401" s="511"/>
      <c r="AM401" s="584"/>
      <c r="AN401" s="584"/>
      <c r="AO401" s="584"/>
      <c r="AP401" s="671"/>
      <c r="AQ401" s="584"/>
      <c r="AR401" s="583"/>
      <c r="AS401" s="583"/>
      <c r="AT401" s="585"/>
      <c r="AU401" s="585"/>
      <c r="AV401" s="585"/>
      <c r="AW401" s="585"/>
      <c r="AX401" s="673"/>
      <c r="AY401" s="380"/>
      <c r="AZ401" s="380"/>
      <c r="BA401" s="380"/>
      <c r="BB401" s="380"/>
      <c r="BC401" s="380"/>
      <c r="BD401" s="380"/>
      <c r="BE401" s="380"/>
      <c r="BF401" s="380"/>
      <c r="BG401" s="380"/>
      <c r="BH401" s="380"/>
      <c r="BI401" s="511"/>
      <c r="BJ401" s="380"/>
      <c r="BK401" s="380"/>
      <c r="BL401" s="380"/>
      <c r="BM401" s="380"/>
      <c r="BN401" s="380"/>
      <c r="BO401" s="380"/>
      <c r="BP401" s="380"/>
      <c r="BQ401" s="380"/>
      <c r="BR401" s="380"/>
    </row>
    <row r="402" spans="1:70" ht="12.75" customHeight="1" x14ac:dyDescent="0.25">
      <c r="A402" s="380"/>
      <c r="B402" s="380"/>
      <c r="C402" s="380"/>
      <c r="D402" s="380"/>
      <c r="E402" s="511"/>
      <c r="F402" s="511"/>
      <c r="G402" s="582"/>
      <c r="H402" s="511"/>
      <c r="I402" s="511"/>
      <c r="J402" s="582"/>
      <c r="K402" s="511"/>
      <c r="L402" s="511"/>
      <c r="M402" s="582"/>
      <c r="N402" s="582"/>
      <c r="O402" s="582"/>
      <c r="P402" s="582"/>
      <c r="Q402" s="511"/>
      <c r="R402" s="511"/>
      <c r="S402" s="511"/>
      <c r="T402" s="639"/>
      <c r="U402" s="511"/>
      <c r="V402" s="511"/>
      <c r="W402" s="511"/>
      <c r="X402" s="511"/>
      <c r="Y402" s="380"/>
      <c r="Z402" s="380"/>
      <c r="AA402" s="380"/>
      <c r="AB402" s="380"/>
      <c r="AC402" s="380"/>
      <c r="AD402" s="671"/>
      <c r="AE402" s="380"/>
      <c r="AF402" s="380"/>
      <c r="AG402" s="380"/>
      <c r="AH402" s="671"/>
      <c r="AI402" s="380"/>
      <c r="AJ402" s="583"/>
      <c r="AK402" s="583"/>
      <c r="AL402" s="511"/>
      <c r="AM402" s="584"/>
      <c r="AN402" s="584"/>
      <c r="AO402" s="584"/>
      <c r="AP402" s="671"/>
      <c r="AQ402" s="584"/>
      <c r="AR402" s="583"/>
      <c r="AS402" s="583"/>
      <c r="AT402" s="585"/>
      <c r="AU402" s="585"/>
      <c r="AV402" s="585"/>
      <c r="AW402" s="585"/>
      <c r="AX402" s="673"/>
      <c r="AY402" s="380"/>
      <c r="AZ402" s="380"/>
      <c r="BA402" s="380"/>
      <c r="BB402" s="380"/>
      <c r="BC402" s="380"/>
      <c r="BD402" s="380"/>
      <c r="BE402" s="380"/>
      <c r="BF402" s="380"/>
      <c r="BG402" s="380"/>
      <c r="BH402" s="380"/>
      <c r="BI402" s="511"/>
      <c r="BJ402" s="380"/>
      <c r="BK402" s="380"/>
      <c r="BL402" s="380"/>
      <c r="BM402" s="380"/>
      <c r="BN402" s="380"/>
      <c r="BO402" s="380"/>
      <c r="BP402" s="380"/>
      <c r="BQ402" s="380"/>
      <c r="BR402" s="380"/>
    </row>
    <row r="403" spans="1:70" ht="12.75" customHeight="1" x14ac:dyDescent="0.25">
      <c r="A403" s="380"/>
      <c r="B403" s="380"/>
      <c r="C403" s="380"/>
      <c r="D403" s="380"/>
      <c r="E403" s="511"/>
      <c r="F403" s="511"/>
      <c r="G403" s="582"/>
      <c r="H403" s="511"/>
      <c r="I403" s="511"/>
      <c r="J403" s="582"/>
      <c r="K403" s="511"/>
      <c r="L403" s="511"/>
      <c r="M403" s="582"/>
      <c r="N403" s="582"/>
      <c r="O403" s="582"/>
      <c r="P403" s="582"/>
      <c r="Q403" s="511"/>
      <c r="R403" s="511"/>
      <c r="S403" s="511"/>
      <c r="T403" s="639"/>
      <c r="U403" s="511"/>
      <c r="V403" s="511"/>
      <c r="W403" s="511"/>
      <c r="X403" s="511"/>
      <c r="Y403" s="380"/>
      <c r="Z403" s="380"/>
      <c r="AA403" s="380"/>
      <c r="AB403" s="380"/>
      <c r="AC403" s="380"/>
      <c r="AD403" s="671"/>
      <c r="AE403" s="380"/>
      <c r="AF403" s="380"/>
      <c r="AG403" s="380"/>
      <c r="AH403" s="671"/>
      <c r="AI403" s="380"/>
      <c r="AJ403" s="583"/>
      <c r="AK403" s="583"/>
      <c r="AL403" s="511"/>
      <c r="AM403" s="584"/>
      <c r="AN403" s="584"/>
      <c r="AO403" s="584"/>
      <c r="AP403" s="671"/>
      <c r="AQ403" s="584"/>
      <c r="AR403" s="583"/>
      <c r="AS403" s="583"/>
      <c r="AT403" s="585"/>
      <c r="AU403" s="585"/>
      <c r="AV403" s="585"/>
      <c r="AW403" s="585"/>
      <c r="AX403" s="673"/>
      <c r="AY403" s="380"/>
      <c r="AZ403" s="380"/>
      <c r="BA403" s="380"/>
      <c r="BB403" s="380"/>
      <c r="BC403" s="380"/>
      <c r="BD403" s="380"/>
      <c r="BE403" s="380"/>
      <c r="BF403" s="380"/>
      <c r="BG403" s="380"/>
      <c r="BH403" s="380"/>
      <c r="BI403" s="511"/>
      <c r="BJ403" s="380"/>
      <c r="BK403" s="380"/>
      <c r="BL403" s="380"/>
      <c r="BM403" s="380"/>
      <c r="BN403" s="380"/>
      <c r="BO403" s="380"/>
      <c r="BP403" s="380"/>
      <c r="BQ403" s="380"/>
      <c r="BR403" s="380"/>
    </row>
    <row r="404" spans="1:70" ht="12.75" customHeight="1" x14ac:dyDescent="0.25">
      <c r="A404" s="380"/>
      <c r="B404" s="380"/>
      <c r="C404" s="380"/>
      <c r="D404" s="380"/>
      <c r="E404" s="511"/>
      <c r="F404" s="511"/>
      <c r="G404" s="582"/>
      <c r="H404" s="511"/>
      <c r="I404" s="511"/>
      <c r="J404" s="582"/>
      <c r="K404" s="511"/>
      <c r="L404" s="511"/>
      <c r="M404" s="582"/>
      <c r="N404" s="582"/>
      <c r="O404" s="582"/>
      <c r="P404" s="582"/>
      <c r="Q404" s="511"/>
      <c r="R404" s="511"/>
      <c r="S404" s="511"/>
      <c r="T404" s="639"/>
      <c r="U404" s="511"/>
      <c r="V404" s="511"/>
      <c r="W404" s="511"/>
      <c r="X404" s="511"/>
      <c r="Y404" s="380"/>
      <c r="Z404" s="380"/>
      <c r="AA404" s="380"/>
      <c r="AB404" s="380"/>
      <c r="AC404" s="380"/>
      <c r="AD404" s="671"/>
      <c r="AE404" s="380"/>
      <c r="AF404" s="380"/>
      <c r="AG404" s="380"/>
      <c r="AH404" s="671"/>
      <c r="AI404" s="380"/>
      <c r="AJ404" s="583"/>
      <c r="AK404" s="583"/>
      <c r="AL404" s="511"/>
      <c r="AM404" s="584"/>
      <c r="AN404" s="584"/>
      <c r="AO404" s="584"/>
      <c r="AP404" s="671"/>
      <c r="AQ404" s="584"/>
      <c r="AR404" s="583"/>
      <c r="AS404" s="583"/>
      <c r="AT404" s="585"/>
      <c r="AU404" s="585"/>
      <c r="AV404" s="585"/>
      <c r="AW404" s="585"/>
      <c r="AX404" s="673"/>
      <c r="AY404" s="380"/>
      <c r="AZ404" s="380"/>
      <c r="BA404" s="380"/>
      <c r="BB404" s="380"/>
      <c r="BC404" s="380"/>
      <c r="BD404" s="380"/>
      <c r="BE404" s="380"/>
      <c r="BF404" s="380"/>
      <c r="BG404" s="380"/>
      <c r="BH404" s="380"/>
      <c r="BI404" s="511"/>
      <c r="BJ404" s="380"/>
      <c r="BK404" s="380"/>
      <c r="BL404" s="380"/>
      <c r="BM404" s="380"/>
      <c r="BN404" s="380"/>
      <c r="BO404" s="380"/>
      <c r="BP404" s="380"/>
      <c r="BQ404" s="380"/>
      <c r="BR404" s="380"/>
    </row>
    <row r="405" spans="1:70" ht="12.75" customHeight="1" x14ac:dyDescent="0.25">
      <c r="A405" s="380"/>
      <c r="B405" s="380"/>
      <c r="C405" s="380"/>
      <c r="D405" s="380"/>
      <c r="E405" s="511"/>
      <c r="F405" s="511"/>
      <c r="G405" s="582"/>
      <c r="H405" s="511"/>
      <c r="I405" s="511"/>
      <c r="J405" s="582"/>
      <c r="K405" s="511"/>
      <c r="L405" s="511"/>
      <c r="M405" s="582"/>
      <c r="N405" s="582"/>
      <c r="O405" s="582"/>
      <c r="P405" s="582"/>
      <c r="Q405" s="511"/>
      <c r="R405" s="511"/>
      <c r="S405" s="511"/>
      <c r="T405" s="639"/>
      <c r="U405" s="511"/>
      <c r="V405" s="511"/>
      <c r="W405" s="511"/>
      <c r="X405" s="511"/>
      <c r="Y405" s="380"/>
      <c r="Z405" s="380"/>
      <c r="AA405" s="380"/>
      <c r="AB405" s="380"/>
      <c r="AC405" s="380"/>
      <c r="AD405" s="671"/>
      <c r="AE405" s="380"/>
      <c r="AF405" s="380"/>
      <c r="AG405" s="380"/>
      <c r="AH405" s="671"/>
      <c r="AI405" s="380"/>
      <c r="AJ405" s="583"/>
      <c r="AK405" s="583"/>
      <c r="AL405" s="511"/>
      <c r="AM405" s="584"/>
      <c r="AN405" s="584"/>
      <c r="AO405" s="584"/>
      <c r="AP405" s="671"/>
      <c r="AQ405" s="584"/>
      <c r="AR405" s="583"/>
      <c r="AS405" s="583"/>
      <c r="AT405" s="585"/>
      <c r="AU405" s="585"/>
      <c r="AV405" s="585"/>
      <c r="AW405" s="585"/>
      <c r="AX405" s="673"/>
      <c r="AY405" s="380"/>
      <c r="AZ405" s="380"/>
      <c r="BA405" s="380"/>
      <c r="BB405" s="380"/>
      <c r="BC405" s="380"/>
      <c r="BD405" s="380"/>
      <c r="BE405" s="380"/>
      <c r="BF405" s="380"/>
      <c r="BG405" s="380"/>
      <c r="BH405" s="380"/>
      <c r="BI405" s="511"/>
      <c r="BJ405" s="380"/>
      <c r="BK405" s="380"/>
      <c r="BL405" s="380"/>
      <c r="BM405" s="380"/>
      <c r="BN405" s="380"/>
      <c r="BO405" s="380"/>
      <c r="BP405" s="380"/>
      <c r="BQ405" s="380"/>
      <c r="BR405" s="380"/>
    </row>
    <row r="406" spans="1:70" ht="12.75" customHeight="1" x14ac:dyDescent="0.25">
      <c r="A406" s="380"/>
      <c r="B406" s="380"/>
      <c r="C406" s="380"/>
      <c r="D406" s="380"/>
      <c r="E406" s="511"/>
      <c r="F406" s="511"/>
      <c r="G406" s="582"/>
      <c r="H406" s="511"/>
      <c r="I406" s="511"/>
      <c r="J406" s="582"/>
      <c r="K406" s="511"/>
      <c r="L406" s="511"/>
      <c r="M406" s="582"/>
      <c r="N406" s="582"/>
      <c r="O406" s="582"/>
      <c r="P406" s="582"/>
      <c r="Q406" s="511"/>
      <c r="R406" s="511"/>
      <c r="S406" s="511"/>
      <c r="T406" s="639"/>
      <c r="U406" s="511"/>
      <c r="V406" s="511"/>
      <c r="W406" s="511"/>
      <c r="X406" s="511"/>
      <c r="Y406" s="380"/>
      <c r="Z406" s="380"/>
      <c r="AA406" s="380"/>
      <c r="AB406" s="380"/>
      <c r="AC406" s="380"/>
      <c r="AD406" s="671"/>
      <c r="AE406" s="380"/>
      <c r="AF406" s="380"/>
      <c r="AG406" s="380"/>
      <c r="AH406" s="671"/>
      <c r="AI406" s="380"/>
      <c r="AJ406" s="583"/>
      <c r="AK406" s="583"/>
      <c r="AL406" s="511"/>
      <c r="AM406" s="584"/>
      <c r="AN406" s="584"/>
      <c r="AO406" s="584"/>
      <c r="AP406" s="671"/>
      <c r="AQ406" s="584"/>
      <c r="AR406" s="583"/>
      <c r="AS406" s="583"/>
      <c r="AT406" s="585"/>
      <c r="AU406" s="585"/>
      <c r="AV406" s="585"/>
      <c r="AW406" s="585"/>
      <c r="AX406" s="673"/>
      <c r="AY406" s="380"/>
      <c r="AZ406" s="380"/>
      <c r="BA406" s="380"/>
      <c r="BB406" s="380"/>
      <c r="BC406" s="380"/>
      <c r="BD406" s="380"/>
      <c r="BE406" s="380"/>
      <c r="BF406" s="380"/>
      <c r="BG406" s="380"/>
      <c r="BH406" s="380"/>
      <c r="BI406" s="511"/>
      <c r="BJ406" s="380"/>
      <c r="BK406" s="380"/>
      <c r="BL406" s="380"/>
      <c r="BM406" s="380"/>
      <c r="BN406" s="380"/>
      <c r="BO406" s="380"/>
      <c r="BP406" s="380"/>
      <c r="BQ406" s="380"/>
      <c r="BR406" s="380"/>
    </row>
    <row r="407" spans="1:70" ht="12.75" customHeight="1" x14ac:dyDescent="0.25">
      <c r="A407" s="380"/>
      <c r="B407" s="380"/>
      <c r="C407" s="380"/>
      <c r="D407" s="380"/>
      <c r="E407" s="511"/>
      <c r="F407" s="511"/>
      <c r="G407" s="582"/>
      <c r="H407" s="511"/>
      <c r="I407" s="511"/>
      <c r="J407" s="582"/>
      <c r="K407" s="511"/>
      <c r="L407" s="511"/>
      <c r="M407" s="582"/>
      <c r="N407" s="582"/>
      <c r="O407" s="582"/>
      <c r="P407" s="582"/>
      <c r="Q407" s="511"/>
      <c r="R407" s="511"/>
      <c r="S407" s="511"/>
      <c r="T407" s="639"/>
      <c r="U407" s="511"/>
      <c r="V407" s="511"/>
      <c r="W407" s="511"/>
      <c r="X407" s="511"/>
      <c r="Y407" s="380"/>
      <c r="Z407" s="380"/>
      <c r="AA407" s="380"/>
      <c r="AB407" s="380"/>
      <c r="AC407" s="380"/>
      <c r="AD407" s="671"/>
      <c r="AE407" s="380"/>
      <c r="AF407" s="380"/>
      <c r="AG407" s="380"/>
      <c r="AH407" s="671"/>
      <c r="AI407" s="380"/>
      <c r="AJ407" s="583"/>
      <c r="AK407" s="583"/>
      <c r="AL407" s="511"/>
      <c r="AM407" s="584"/>
      <c r="AN407" s="584"/>
      <c r="AO407" s="584"/>
      <c r="AP407" s="671"/>
      <c r="AQ407" s="584"/>
      <c r="AR407" s="583"/>
      <c r="AS407" s="583"/>
      <c r="AT407" s="585"/>
      <c r="AU407" s="585"/>
      <c r="AV407" s="585"/>
      <c r="AW407" s="585"/>
      <c r="AX407" s="673"/>
      <c r="AY407" s="380"/>
      <c r="AZ407" s="380"/>
      <c r="BA407" s="380"/>
      <c r="BB407" s="380"/>
      <c r="BC407" s="380"/>
      <c r="BD407" s="380"/>
      <c r="BE407" s="380"/>
      <c r="BF407" s="380"/>
      <c r="BG407" s="380"/>
      <c r="BH407" s="380"/>
      <c r="BI407" s="511"/>
      <c r="BJ407" s="380"/>
      <c r="BK407" s="380"/>
      <c r="BL407" s="380"/>
      <c r="BM407" s="380"/>
      <c r="BN407" s="380"/>
      <c r="BO407" s="380"/>
      <c r="BP407" s="380"/>
      <c r="BQ407" s="380"/>
      <c r="BR407" s="380"/>
    </row>
    <row r="408" spans="1:70" ht="12.75" customHeight="1" x14ac:dyDescent="0.25">
      <c r="A408" s="380"/>
      <c r="B408" s="380"/>
      <c r="C408" s="380"/>
      <c r="D408" s="380"/>
      <c r="E408" s="511"/>
      <c r="F408" s="511"/>
      <c r="G408" s="582"/>
      <c r="H408" s="511"/>
      <c r="I408" s="511"/>
      <c r="J408" s="582"/>
      <c r="K408" s="511"/>
      <c r="L408" s="511"/>
      <c r="M408" s="582"/>
      <c r="N408" s="582"/>
      <c r="O408" s="582"/>
      <c r="P408" s="582"/>
      <c r="Q408" s="511"/>
      <c r="R408" s="511"/>
      <c r="S408" s="511"/>
      <c r="T408" s="639"/>
      <c r="U408" s="511"/>
      <c r="V408" s="511"/>
      <c r="W408" s="511"/>
      <c r="X408" s="511"/>
      <c r="Y408" s="380"/>
      <c r="Z408" s="380"/>
      <c r="AA408" s="380"/>
      <c r="AB408" s="380"/>
      <c r="AC408" s="380"/>
      <c r="AD408" s="671"/>
      <c r="AE408" s="380"/>
      <c r="AF408" s="380"/>
      <c r="AG408" s="380"/>
      <c r="AH408" s="671"/>
      <c r="AI408" s="380"/>
      <c r="AJ408" s="583"/>
      <c r="AK408" s="583"/>
      <c r="AL408" s="511"/>
      <c r="AM408" s="584"/>
      <c r="AN408" s="584"/>
      <c r="AO408" s="584"/>
      <c r="AP408" s="671"/>
      <c r="AQ408" s="584"/>
      <c r="AR408" s="583"/>
      <c r="AS408" s="583"/>
      <c r="AT408" s="585"/>
      <c r="AU408" s="585"/>
      <c r="AV408" s="585"/>
      <c r="AW408" s="585"/>
      <c r="AX408" s="673"/>
      <c r="AY408" s="380"/>
      <c r="AZ408" s="380"/>
      <c r="BA408" s="380"/>
      <c r="BB408" s="380"/>
      <c r="BC408" s="380"/>
      <c r="BD408" s="380"/>
      <c r="BE408" s="380"/>
      <c r="BF408" s="380"/>
      <c r="BG408" s="380"/>
      <c r="BH408" s="380"/>
      <c r="BI408" s="511"/>
      <c r="BJ408" s="380"/>
      <c r="BK408" s="380"/>
      <c r="BL408" s="380"/>
      <c r="BM408" s="380"/>
      <c r="BN408" s="380"/>
      <c r="BO408" s="380"/>
      <c r="BP408" s="380"/>
      <c r="BQ408" s="380"/>
      <c r="BR408" s="380"/>
    </row>
    <row r="409" spans="1:70" ht="12.75" customHeight="1" x14ac:dyDescent="0.25">
      <c r="A409" s="380"/>
      <c r="B409" s="380"/>
      <c r="C409" s="380"/>
      <c r="D409" s="380"/>
      <c r="E409" s="511"/>
      <c r="F409" s="511"/>
      <c r="G409" s="582"/>
      <c r="H409" s="511"/>
      <c r="I409" s="511"/>
      <c r="J409" s="582"/>
      <c r="K409" s="511"/>
      <c r="L409" s="511"/>
      <c r="M409" s="582"/>
      <c r="N409" s="582"/>
      <c r="O409" s="582"/>
      <c r="P409" s="582"/>
      <c r="Q409" s="511"/>
      <c r="R409" s="511"/>
      <c r="S409" s="511"/>
      <c r="T409" s="639"/>
      <c r="U409" s="511"/>
      <c r="V409" s="511"/>
      <c r="W409" s="511"/>
      <c r="X409" s="511"/>
      <c r="Y409" s="380"/>
      <c r="Z409" s="380"/>
      <c r="AA409" s="380"/>
      <c r="AB409" s="380"/>
      <c r="AC409" s="380"/>
      <c r="AD409" s="671"/>
      <c r="AE409" s="380"/>
      <c r="AF409" s="380"/>
      <c r="AG409" s="380"/>
      <c r="AH409" s="671"/>
      <c r="AI409" s="380"/>
      <c r="AJ409" s="583"/>
      <c r="AK409" s="583"/>
      <c r="AL409" s="511"/>
      <c r="AM409" s="584"/>
      <c r="AN409" s="584"/>
      <c r="AO409" s="584"/>
      <c r="AP409" s="671"/>
      <c r="AQ409" s="584"/>
      <c r="AR409" s="583"/>
      <c r="AS409" s="583"/>
      <c r="AT409" s="585"/>
      <c r="AU409" s="585"/>
      <c r="AV409" s="585"/>
      <c r="AW409" s="585"/>
      <c r="AX409" s="673"/>
      <c r="AY409" s="380"/>
      <c r="AZ409" s="380"/>
      <c r="BA409" s="380"/>
      <c r="BB409" s="380"/>
      <c r="BC409" s="380"/>
      <c r="BD409" s="380"/>
      <c r="BE409" s="380"/>
      <c r="BF409" s="380"/>
      <c r="BG409" s="380"/>
      <c r="BH409" s="380"/>
      <c r="BI409" s="511"/>
      <c r="BJ409" s="380"/>
      <c r="BK409" s="380"/>
      <c r="BL409" s="380"/>
      <c r="BM409" s="380"/>
      <c r="BN409" s="380"/>
      <c r="BO409" s="380"/>
      <c r="BP409" s="380"/>
      <c r="BQ409" s="380"/>
      <c r="BR409" s="380"/>
    </row>
    <row r="410" spans="1:70" ht="12.75" customHeight="1" x14ac:dyDescent="0.25">
      <c r="A410" s="380"/>
      <c r="B410" s="380"/>
      <c r="C410" s="380"/>
      <c r="D410" s="380"/>
      <c r="E410" s="511"/>
      <c r="F410" s="511"/>
      <c r="G410" s="582"/>
      <c r="H410" s="511"/>
      <c r="I410" s="511"/>
      <c r="J410" s="582"/>
      <c r="K410" s="511"/>
      <c r="L410" s="511"/>
      <c r="M410" s="582"/>
      <c r="N410" s="582"/>
      <c r="O410" s="582"/>
      <c r="P410" s="582"/>
      <c r="Q410" s="511"/>
      <c r="R410" s="511"/>
      <c r="S410" s="511"/>
      <c r="T410" s="639"/>
      <c r="U410" s="511"/>
      <c r="V410" s="511"/>
      <c r="W410" s="511"/>
      <c r="X410" s="511"/>
      <c r="Y410" s="380"/>
      <c r="Z410" s="380"/>
      <c r="AA410" s="380"/>
      <c r="AB410" s="380"/>
      <c r="AC410" s="380"/>
      <c r="AD410" s="671"/>
      <c r="AE410" s="380"/>
      <c r="AF410" s="380"/>
      <c r="AG410" s="380"/>
      <c r="AH410" s="671"/>
      <c r="AI410" s="380"/>
      <c r="AJ410" s="583"/>
      <c r="AK410" s="583"/>
      <c r="AL410" s="511"/>
      <c r="AM410" s="584"/>
      <c r="AN410" s="584"/>
      <c r="AO410" s="584"/>
      <c r="AP410" s="671"/>
      <c r="AQ410" s="584"/>
      <c r="AR410" s="583"/>
      <c r="AS410" s="583"/>
      <c r="AT410" s="585"/>
      <c r="AU410" s="585"/>
      <c r="AV410" s="585"/>
      <c r="AW410" s="585"/>
      <c r="AX410" s="673"/>
      <c r="AY410" s="380"/>
      <c r="AZ410" s="380"/>
      <c r="BA410" s="380"/>
      <c r="BB410" s="380"/>
      <c r="BC410" s="380"/>
      <c r="BD410" s="380"/>
      <c r="BE410" s="380"/>
      <c r="BF410" s="380"/>
      <c r="BG410" s="380"/>
      <c r="BH410" s="380"/>
      <c r="BI410" s="511"/>
      <c r="BJ410" s="380"/>
      <c r="BK410" s="380"/>
      <c r="BL410" s="380"/>
      <c r="BM410" s="380"/>
      <c r="BN410" s="380"/>
      <c r="BO410" s="380"/>
      <c r="BP410" s="380"/>
      <c r="BQ410" s="380"/>
      <c r="BR410" s="380"/>
    </row>
    <row r="411" spans="1:70" ht="12.75" customHeight="1" x14ac:dyDescent="0.25">
      <c r="A411" s="380"/>
      <c r="B411" s="380"/>
      <c r="C411" s="380"/>
      <c r="D411" s="380"/>
      <c r="E411" s="511"/>
      <c r="F411" s="511"/>
      <c r="G411" s="582"/>
      <c r="H411" s="511"/>
      <c r="I411" s="511"/>
      <c r="J411" s="582"/>
      <c r="K411" s="511"/>
      <c r="L411" s="511"/>
      <c r="M411" s="582"/>
      <c r="N411" s="582"/>
      <c r="O411" s="582"/>
      <c r="P411" s="582"/>
      <c r="Q411" s="511"/>
      <c r="R411" s="511"/>
      <c r="S411" s="511"/>
      <c r="T411" s="639"/>
      <c r="U411" s="511"/>
      <c r="V411" s="511"/>
      <c r="W411" s="511"/>
      <c r="X411" s="511"/>
      <c r="Y411" s="380"/>
      <c r="Z411" s="380"/>
      <c r="AA411" s="380"/>
      <c r="AB411" s="380"/>
      <c r="AC411" s="380"/>
      <c r="AD411" s="671"/>
      <c r="AE411" s="380"/>
      <c r="AF411" s="380"/>
      <c r="AG411" s="380"/>
      <c r="AH411" s="671"/>
      <c r="AI411" s="380"/>
      <c r="AJ411" s="583"/>
      <c r="AK411" s="583"/>
      <c r="AL411" s="511"/>
      <c r="AM411" s="584"/>
      <c r="AN411" s="584"/>
      <c r="AO411" s="584"/>
      <c r="AP411" s="671"/>
      <c r="AQ411" s="584"/>
      <c r="AR411" s="583"/>
      <c r="AS411" s="583"/>
      <c r="AT411" s="585"/>
      <c r="AU411" s="585"/>
      <c r="AV411" s="585"/>
      <c r="AW411" s="585"/>
      <c r="AX411" s="673"/>
      <c r="AY411" s="380"/>
      <c r="AZ411" s="380"/>
      <c r="BA411" s="380"/>
      <c r="BB411" s="380"/>
      <c r="BC411" s="380"/>
      <c r="BD411" s="380"/>
      <c r="BE411" s="380"/>
      <c r="BF411" s="380"/>
      <c r="BG411" s="380"/>
      <c r="BH411" s="380"/>
      <c r="BI411" s="511"/>
      <c r="BJ411" s="380"/>
      <c r="BK411" s="380"/>
      <c r="BL411" s="380"/>
      <c r="BM411" s="380"/>
      <c r="BN411" s="380"/>
      <c r="BO411" s="380"/>
      <c r="BP411" s="380"/>
      <c r="BQ411" s="380"/>
      <c r="BR411" s="380"/>
    </row>
    <row r="412" spans="1:70" ht="12.75" customHeight="1" x14ac:dyDescent="0.25">
      <c r="A412" s="380"/>
      <c r="B412" s="380"/>
      <c r="C412" s="380"/>
      <c r="D412" s="380"/>
      <c r="E412" s="511"/>
      <c r="F412" s="511"/>
      <c r="G412" s="582"/>
      <c r="H412" s="511"/>
      <c r="I412" s="511"/>
      <c r="J412" s="582"/>
      <c r="K412" s="511"/>
      <c r="L412" s="511"/>
      <c r="M412" s="582"/>
      <c r="N412" s="582"/>
      <c r="O412" s="582"/>
      <c r="P412" s="582"/>
      <c r="Q412" s="511"/>
      <c r="R412" s="511"/>
      <c r="S412" s="511"/>
      <c r="T412" s="639"/>
      <c r="U412" s="511"/>
      <c r="V412" s="511"/>
      <c r="W412" s="511"/>
      <c r="X412" s="511"/>
      <c r="Y412" s="380"/>
      <c r="Z412" s="380"/>
      <c r="AA412" s="380"/>
      <c r="AB412" s="380"/>
      <c r="AC412" s="380"/>
      <c r="AD412" s="671"/>
      <c r="AE412" s="380"/>
      <c r="AF412" s="380"/>
      <c r="AG412" s="380"/>
      <c r="AH412" s="671"/>
      <c r="AI412" s="380"/>
      <c r="AJ412" s="583"/>
      <c r="AK412" s="583"/>
      <c r="AL412" s="511"/>
      <c r="AM412" s="584"/>
      <c r="AN412" s="584"/>
      <c r="AO412" s="584"/>
      <c r="AP412" s="671"/>
      <c r="AQ412" s="584"/>
      <c r="AR412" s="583"/>
      <c r="AS412" s="583"/>
      <c r="AT412" s="585"/>
      <c r="AU412" s="585"/>
      <c r="AV412" s="585"/>
      <c r="AW412" s="585"/>
      <c r="AX412" s="673"/>
      <c r="AY412" s="380"/>
      <c r="AZ412" s="380"/>
      <c r="BA412" s="380"/>
      <c r="BB412" s="380"/>
      <c r="BC412" s="380"/>
      <c r="BD412" s="380"/>
      <c r="BE412" s="380"/>
      <c r="BF412" s="380"/>
      <c r="BG412" s="380"/>
      <c r="BH412" s="380"/>
      <c r="BI412" s="511"/>
      <c r="BJ412" s="380"/>
      <c r="BK412" s="380"/>
      <c r="BL412" s="380"/>
      <c r="BM412" s="380"/>
      <c r="BN412" s="380"/>
      <c r="BO412" s="380"/>
      <c r="BP412" s="380"/>
      <c r="BQ412" s="380"/>
      <c r="BR412" s="380"/>
    </row>
    <row r="413" spans="1:70" ht="12.75" customHeight="1" x14ac:dyDescent="0.25">
      <c r="A413" s="380"/>
      <c r="B413" s="380"/>
      <c r="C413" s="380"/>
      <c r="D413" s="380"/>
      <c r="E413" s="511"/>
      <c r="F413" s="511"/>
      <c r="G413" s="582"/>
      <c r="H413" s="511"/>
      <c r="I413" s="511"/>
      <c r="J413" s="582"/>
      <c r="K413" s="511"/>
      <c r="L413" s="511"/>
      <c r="M413" s="582"/>
      <c r="N413" s="582"/>
      <c r="O413" s="582"/>
      <c r="P413" s="582"/>
      <c r="Q413" s="511"/>
      <c r="R413" s="511"/>
      <c r="S413" s="511"/>
      <c r="T413" s="639"/>
      <c r="U413" s="511"/>
      <c r="V413" s="511"/>
      <c r="W413" s="511"/>
      <c r="X413" s="511"/>
      <c r="Y413" s="380"/>
      <c r="Z413" s="380"/>
      <c r="AA413" s="380"/>
      <c r="AB413" s="380"/>
      <c r="AC413" s="380"/>
      <c r="AD413" s="671"/>
      <c r="AE413" s="380"/>
      <c r="AF413" s="380"/>
      <c r="AG413" s="380"/>
      <c r="AH413" s="671"/>
      <c r="AI413" s="380"/>
      <c r="AJ413" s="583"/>
      <c r="AK413" s="583"/>
      <c r="AL413" s="511"/>
      <c r="AM413" s="584"/>
      <c r="AN413" s="584"/>
      <c r="AO413" s="584"/>
      <c r="AP413" s="671"/>
      <c r="AQ413" s="584"/>
      <c r="AR413" s="583"/>
      <c r="AS413" s="583"/>
      <c r="AT413" s="585"/>
      <c r="AU413" s="585"/>
      <c r="AV413" s="585"/>
      <c r="AW413" s="585"/>
      <c r="AX413" s="673"/>
      <c r="AY413" s="380"/>
      <c r="AZ413" s="380"/>
      <c r="BA413" s="380"/>
      <c r="BB413" s="380"/>
      <c r="BC413" s="380"/>
      <c r="BD413" s="380"/>
      <c r="BE413" s="380"/>
      <c r="BF413" s="380"/>
      <c r="BG413" s="380"/>
      <c r="BH413" s="380"/>
      <c r="BI413" s="511"/>
      <c r="BJ413" s="380"/>
      <c r="BK413" s="380"/>
      <c r="BL413" s="380"/>
      <c r="BM413" s="380"/>
      <c r="BN413" s="380"/>
      <c r="BO413" s="380"/>
      <c r="BP413" s="380"/>
      <c r="BQ413" s="380"/>
      <c r="BR413" s="380"/>
    </row>
    <row r="414" spans="1:70" ht="12.75" customHeight="1" x14ac:dyDescent="0.25">
      <c r="A414" s="380"/>
      <c r="B414" s="380"/>
      <c r="C414" s="380"/>
      <c r="D414" s="380"/>
      <c r="E414" s="511"/>
      <c r="F414" s="511"/>
      <c r="G414" s="582"/>
      <c r="H414" s="511"/>
      <c r="I414" s="511"/>
      <c r="J414" s="582"/>
      <c r="K414" s="511"/>
      <c r="L414" s="511"/>
      <c r="M414" s="582"/>
      <c r="N414" s="582"/>
      <c r="O414" s="582"/>
      <c r="P414" s="582"/>
      <c r="Q414" s="511"/>
      <c r="R414" s="511"/>
      <c r="S414" s="511"/>
      <c r="T414" s="639"/>
      <c r="U414" s="511"/>
      <c r="V414" s="511"/>
      <c r="W414" s="511"/>
      <c r="X414" s="511"/>
      <c r="Y414" s="380"/>
      <c r="Z414" s="380"/>
      <c r="AA414" s="380"/>
      <c r="AB414" s="380"/>
      <c r="AC414" s="380"/>
      <c r="AD414" s="671"/>
      <c r="AE414" s="380"/>
      <c r="AF414" s="380"/>
      <c r="AG414" s="380"/>
      <c r="AH414" s="671"/>
      <c r="AI414" s="380"/>
      <c r="AJ414" s="583"/>
      <c r="AK414" s="583"/>
      <c r="AL414" s="511"/>
      <c r="AM414" s="584"/>
      <c r="AN414" s="584"/>
      <c r="AO414" s="584"/>
      <c r="AP414" s="671"/>
      <c r="AQ414" s="584"/>
      <c r="AR414" s="583"/>
      <c r="AS414" s="583"/>
      <c r="AT414" s="585"/>
      <c r="AU414" s="585"/>
      <c r="AV414" s="585"/>
      <c r="AW414" s="585"/>
      <c r="AX414" s="673"/>
      <c r="AY414" s="380"/>
      <c r="AZ414" s="380"/>
      <c r="BA414" s="380"/>
      <c r="BB414" s="380"/>
      <c r="BC414" s="380"/>
      <c r="BD414" s="380"/>
      <c r="BE414" s="380"/>
      <c r="BF414" s="380"/>
      <c r="BG414" s="380"/>
      <c r="BH414" s="380"/>
      <c r="BI414" s="511"/>
      <c r="BJ414" s="380"/>
      <c r="BK414" s="380"/>
      <c r="BL414" s="380"/>
      <c r="BM414" s="380"/>
      <c r="BN414" s="380"/>
      <c r="BO414" s="380"/>
      <c r="BP414" s="380"/>
      <c r="BQ414" s="380"/>
      <c r="BR414" s="380"/>
    </row>
    <row r="415" spans="1:70" ht="12.75" customHeight="1" x14ac:dyDescent="0.25">
      <c r="A415" s="380"/>
      <c r="B415" s="380"/>
      <c r="C415" s="380"/>
      <c r="D415" s="380"/>
      <c r="E415" s="511"/>
      <c r="F415" s="511"/>
      <c r="G415" s="582"/>
      <c r="H415" s="511"/>
      <c r="I415" s="511"/>
      <c r="J415" s="582"/>
      <c r="K415" s="511"/>
      <c r="L415" s="511"/>
      <c r="M415" s="582"/>
      <c r="N415" s="582"/>
      <c r="O415" s="582"/>
      <c r="P415" s="582"/>
      <c r="Q415" s="511"/>
      <c r="R415" s="511"/>
      <c r="S415" s="511"/>
      <c r="T415" s="639"/>
      <c r="U415" s="511"/>
      <c r="V415" s="511"/>
      <c r="W415" s="511"/>
      <c r="X415" s="511"/>
      <c r="Y415" s="380"/>
      <c r="Z415" s="380"/>
      <c r="AA415" s="380"/>
      <c r="AB415" s="380"/>
      <c r="AC415" s="380"/>
      <c r="AD415" s="671"/>
      <c r="AE415" s="380"/>
      <c r="AF415" s="380"/>
      <c r="AG415" s="380"/>
      <c r="AH415" s="671"/>
      <c r="AI415" s="380"/>
      <c r="AJ415" s="583"/>
      <c r="AK415" s="583"/>
      <c r="AL415" s="511"/>
      <c r="AM415" s="584"/>
      <c r="AN415" s="584"/>
      <c r="AO415" s="584"/>
      <c r="AP415" s="671"/>
      <c r="AQ415" s="584"/>
      <c r="AR415" s="583"/>
      <c r="AS415" s="583"/>
      <c r="AT415" s="585"/>
      <c r="AU415" s="585"/>
      <c r="AV415" s="585"/>
      <c r="AW415" s="585"/>
      <c r="AX415" s="673"/>
      <c r="AY415" s="380"/>
      <c r="AZ415" s="380"/>
      <c r="BA415" s="380"/>
      <c r="BB415" s="380"/>
      <c r="BC415" s="380"/>
      <c r="BD415" s="380"/>
      <c r="BE415" s="380"/>
      <c r="BF415" s="380"/>
      <c r="BG415" s="380"/>
      <c r="BH415" s="380"/>
      <c r="BI415" s="511"/>
      <c r="BJ415" s="380"/>
      <c r="BK415" s="380"/>
      <c r="BL415" s="380"/>
      <c r="BM415" s="380"/>
      <c r="BN415" s="380"/>
      <c r="BO415" s="380"/>
      <c r="BP415" s="380"/>
      <c r="BQ415" s="380"/>
      <c r="BR415" s="380"/>
    </row>
    <row r="416" spans="1:70" ht="12.75" customHeight="1" x14ac:dyDescent="0.25">
      <c r="A416" s="380"/>
      <c r="B416" s="380"/>
      <c r="C416" s="380"/>
      <c r="D416" s="380"/>
      <c r="E416" s="511"/>
      <c r="F416" s="511"/>
      <c r="G416" s="582"/>
      <c r="H416" s="511"/>
      <c r="I416" s="511"/>
      <c r="J416" s="582"/>
      <c r="K416" s="511"/>
      <c r="L416" s="511"/>
      <c r="M416" s="582"/>
      <c r="N416" s="582"/>
      <c r="O416" s="582"/>
      <c r="P416" s="582"/>
      <c r="Q416" s="511"/>
      <c r="R416" s="511"/>
      <c r="S416" s="511"/>
      <c r="T416" s="639"/>
      <c r="U416" s="511"/>
      <c r="V416" s="511"/>
      <c r="W416" s="511"/>
      <c r="X416" s="511"/>
      <c r="Y416" s="380"/>
      <c r="Z416" s="380"/>
      <c r="AA416" s="380"/>
      <c r="AB416" s="380"/>
      <c r="AC416" s="380"/>
      <c r="AD416" s="671"/>
      <c r="AE416" s="380"/>
      <c r="AF416" s="380"/>
      <c r="AG416" s="380"/>
      <c r="AH416" s="671"/>
      <c r="AI416" s="380"/>
      <c r="AJ416" s="583"/>
      <c r="AK416" s="583"/>
      <c r="AL416" s="511"/>
      <c r="AM416" s="584"/>
      <c r="AN416" s="584"/>
      <c r="AO416" s="584"/>
      <c r="AP416" s="671"/>
      <c r="AQ416" s="584"/>
      <c r="AR416" s="583"/>
      <c r="AS416" s="583"/>
      <c r="AT416" s="585"/>
      <c r="AU416" s="585"/>
      <c r="AV416" s="585"/>
      <c r="AW416" s="585"/>
      <c r="AX416" s="673"/>
      <c r="AY416" s="380"/>
      <c r="AZ416" s="380"/>
      <c r="BA416" s="380"/>
      <c r="BB416" s="380"/>
      <c r="BC416" s="380"/>
      <c r="BD416" s="380"/>
      <c r="BE416" s="380"/>
      <c r="BF416" s="380"/>
      <c r="BG416" s="380"/>
      <c r="BH416" s="380"/>
      <c r="BI416" s="511"/>
      <c r="BJ416" s="380"/>
      <c r="BK416" s="380"/>
      <c r="BL416" s="380"/>
      <c r="BM416" s="380"/>
      <c r="BN416" s="380"/>
      <c r="BO416" s="380"/>
      <c r="BP416" s="380"/>
      <c r="BQ416" s="380"/>
      <c r="BR416" s="380"/>
    </row>
    <row r="417" spans="1:70" ht="12.75" customHeight="1" x14ac:dyDescent="0.25">
      <c r="A417" s="380"/>
      <c r="B417" s="380"/>
      <c r="C417" s="380"/>
      <c r="D417" s="380"/>
      <c r="E417" s="511"/>
      <c r="F417" s="511"/>
      <c r="G417" s="582"/>
      <c r="H417" s="511"/>
      <c r="I417" s="511"/>
      <c r="J417" s="582"/>
      <c r="K417" s="511"/>
      <c r="L417" s="511"/>
      <c r="M417" s="582"/>
      <c r="N417" s="582"/>
      <c r="O417" s="582"/>
      <c r="P417" s="582"/>
      <c r="Q417" s="511"/>
      <c r="R417" s="511"/>
      <c r="S417" s="511"/>
      <c r="T417" s="639"/>
      <c r="U417" s="511"/>
      <c r="V417" s="511"/>
      <c r="W417" s="511"/>
      <c r="X417" s="511"/>
      <c r="Y417" s="380"/>
      <c r="Z417" s="380"/>
      <c r="AA417" s="380"/>
      <c r="AB417" s="380"/>
      <c r="AC417" s="380"/>
      <c r="AD417" s="671"/>
      <c r="AE417" s="380"/>
      <c r="AF417" s="380"/>
      <c r="AG417" s="380"/>
      <c r="AH417" s="671"/>
      <c r="AI417" s="380"/>
      <c r="AJ417" s="583"/>
      <c r="AK417" s="583"/>
      <c r="AL417" s="511"/>
      <c r="AM417" s="584"/>
      <c r="AN417" s="584"/>
      <c r="AO417" s="584"/>
      <c r="AP417" s="671"/>
      <c r="AQ417" s="584"/>
      <c r="AR417" s="583"/>
      <c r="AS417" s="583"/>
      <c r="AT417" s="585"/>
      <c r="AU417" s="585"/>
      <c r="AV417" s="585"/>
      <c r="AW417" s="585"/>
      <c r="AX417" s="673"/>
      <c r="AY417" s="380"/>
      <c r="AZ417" s="380"/>
      <c r="BA417" s="380"/>
      <c r="BB417" s="380"/>
      <c r="BC417" s="380"/>
      <c r="BD417" s="380"/>
      <c r="BE417" s="380"/>
      <c r="BF417" s="380"/>
      <c r="BG417" s="380"/>
      <c r="BH417" s="380"/>
      <c r="BI417" s="511"/>
      <c r="BJ417" s="380"/>
      <c r="BK417" s="380"/>
      <c r="BL417" s="380"/>
      <c r="BM417" s="380"/>
      <c r="BN417" s="380"/>
      <c r="BO417" s="380"/>
      <c r="BP417" s="380"/>
      <c r="BQ417" s="380"/>
      <c r="BR417" s="380"/>
    </row>
    <row r="418" spans="1:70" ht="12.75" customHeight="1" x14ac:dyDescent="0.25">
      <c r="A418" s="380"/>
      <c r="B418" s="380"/>
      <c r="C418" s="380"/>
      <c r="D418" s="380"/>
      <c r="E418" s="511"/>
      <c r="F418" s="511"/>
      <c r="G418" s="582"/>
      <c r="H418" s="511"/>
      <c r="I418" s="511"/>
      <c r="J418" s="582"/>
      <c r="K418" s="511"/>
      <c r="L418" s="511"/>
      <c r="M418" s="582"/>
      <c r="N418" s="582"/>
      <c r="O418" s="582"/>
      <c r="P418" s="582"/>
      <c r="Q418" s="511"/>
      <c r="R418" s="511"/>
      <c r="S418" s="511"/>
      <c r="T418" s="639"/>
      <c r="U418" s="511"/>
      <c r="V418" s="511"/>
      <c r="W418" s="511"/>
      <c r="X418" s="511"/>
      <c r="Y418" s="380"/>
      <c r="Z418" s="380"/>
      <c r="AA418" s="380"/>
      <c r="AB418" s="380"/>
      <c r="AC418" s="380"/>
      <c r="AD418" s="671"/>
      <c r="AE418" s="380"/>
      <c r="AF418" s="380"/>
      <c r="AG418" s="380"/>
      <c r="AH418" s="671"/>
      <c r="AI418" s="380"/>
      <c r="AJ418" s="583"/>
      <c r="AK418" s="583"/>
      <c r="AL418" s="511"/>
      <c r="AM418" s="584"/>
      <c r="AN418" s="584"/>
      <c r="AO418" s="584"/>
      <c r="AP418" s="671"/>
      <c r="AQ418" s="584"/>
      <c r="AR418" s="583"/>
      <c r="AS418" s="583"/>
      <c r="AT418" s="585"/>
      <c r="AU418" s="585"/>
      <c r="AV418" s="585"/>
      <c r="AW418" s="585"/>
      <c r="AX418" s="673"/>
      <c r="AY418" s="380"/>
      <c r="AZ418" s="380"/>
      <c r="BA418" s="380"/>
      <c r="BB418" s="380"/>
      <c r="BC418" s="380"/>
      <c r="BD418" s="380"/>
      <c r="BE418" s="380"/>
      <c r="BF418" s="380"/>
      <c r="BG418" s="380"/>
      <c r="BH418" s="380"/>
      <c r="BI418" s="511"/>
      <c r="BJ418" s="380"/>
      <c r="BK418" s="380"/>
      <c r="BL418" s="380"/>
      <c r="BM418" s="380"/>
      <c r="BN418" s="380"/>
      <c r="BO418" s="380"/>
      <c r="BP418" s="380"/>
      <c r="BQ418" s="380"/>
      <c r="BR418" s="380"/>
    </row>
    <row r="419" spans="1:70" ht="12.75" customHeight="1" x14ac:dyDescent="0.25">
      <c r="A419" s="380"/>
      <c r="B419" s="380"/>
      <c r="C419" s="380"/>
      <c r="D419" s="380"/>
      <c r="E419" s="511"/>
      <c r="F419" s="511"/>
      <c r="G419" s="582"/>
      <c r="H419" s="511"/>
      <c r="I419" s="511"/>
      <c r="J419" s="582"/>
      <c r="K419" s="511"/>
      <c r="L419" s="511"/>
      <c r="M419" s="582"/>
      <c r="N419" s="582"/>
      <c r="O419" s="582"/>
      <c r="P419" s="582"/>
      <c r="Q419" s="511"/>
      <c r="R419" s="511"/>
      <c r="S419" s="511"/>
      <c r="T419" s="639"/>
      <c r="U419" s="511"/>
      <c r="V419" s="511"/>
      <c r="W419" s="511"/>
      <c r="X419" s="511"/>
      <c r="Y419" s="380"/>
      <c r="Z419" s="380"/>
      <c r="AA419" s="380"/>
      <c r="AB419" s="380"/>
      <c r="AC419" s="380"/>
      <c r="AD419" s="671"/>
      <c r="AE419" s="380"/>
      <c r="AF419" s="380"/>
      <c r="AG419" s="380"/>
      <c r="AH419" s="671"/>
      <c r="AI419" s="380"/>
      <c r="AJ419" s="583"/>
      <c r="AK419" s="583"/>
      <c r="AL419" s="511"/>
      <c r="AM419" s="584"/>
      <c r="AN419" s="584"/>
      <c r="AO419" s="584"/>
      <c r="AP419" s="671"/>
      <c r="AQ419" s="584"/>
      <c r="AR419" s="583"/>
      <c r="AS419" s="583"/>
      <c r="AT419" s="585"/>
      <c r="AU419" s="585"/>
      <c r="AV419" s="585"/>
      <c r="AW419" s="585"/>
      <c r="AX419" s="673"/>
      <c r="AY419" s="380"/>
      <c r="AZ419" s="380"/>
      <c r="BA419" s="380"/>
      <c r="BB419" s="380"/>
      <c r="BC419" s="380"/>
      <c r="BD419" s="380"/>
      <c r="BE419" s="380"/>
      <c r="BF419" s="380"/>
      <c r="BG419" s="380"/>
      <c r="BH419" s="380"/>
      <c r="BI419" s="511"/>
      <c r="BJ419" s="380"/>
      <c r="BK419" s="380"/>
      <c r="BL419" s="380"/>
      <c r="BM419" s="380"/>
      <c r="BN419" s="380"/>
      <c r="BO419" s="380"/>
      <c r="BP419" s="380"/>
      <c r="BQ419" s="380"/>
      <c r="BR419" s="380"/>
    </row>
    <row r="420" spans="1:70" ht="12.75" customHeight="1" x14ac:dyDescent="0.25">
      <c r="A420" s="380"/>
      <c r="B420" s="380"/>
      <c r="C420" s="380"/>
      <c r="D420" s="380"/>
      <c r="E420" s="511"/>
      <c r="F420" s="511"/>
      <c r="G420" s="582"/>
      <c r="H420" s="511"/>
      <c r="I420" s="511"/>
      <c r="J420" s="582"/>
      <c r="K420" s="511"/>
      <c r="L420" s="511"/>
      <c r="M420" s="582"/>
      <c r="N420" s="582"/>
      <c r="O420" s="582"/>
      <c r="P420" s="582"/>
      <c r="Q420" s="511"/>
      <c r="R420" s="511"/>
      <c r="S420" s="511"/>
      <c r="T420" s="639"/>
      <c r="U420" s="511"/>
      <c r="V420" s="511"/>
      <c r="W420" s="511"/>
      <c r="X420" s="511"/>
      <c r="Y420" s="380"/>
      <c r="Z420" s="380"/>
      <c r="AA420" s="380"/>
      <c r="AB420" s="380"/>
      <c r="AC420" s="380"/>
      <c r="AD420" s="671"/>
      <c r="AE420" s="380"/>
      <c r="AF420" s="380"/>
      <c r="AG420" s="380"/>
      <c r="AH420" s="671"/>
      <c r="AI420" s="380"/>
      <c r="AJ420" s="583"/>
      <c r="AK420" s="583"/>
      <c r="AL420" s="511"/>
      <c r="AM420" s="584"/>
      <c r="AN420" s="584"/>
      <c r="AO420" s="584"/>
      <c r="AP420" s="671"/>
      <c r="AQ420" s="584"/>
      <c r="AR420" s="583"/>
      <c r="AS420" s="583"/>
      <c r="AT420" s="585"/>
      <c r="AU420" s="585"/>
      <c r="AV420" s="585"/>
      <c r="AW420" s="585"/>
      <c r="AX420" s="673"/>
      <c r="AY420" s="380"/>
      <c r="AZ420" s="380"/>
      <c r="BA420" s="380"/>
      <c r="BB420" s="380"/>
      <c r="BC420" s="380"/>
      <c r="BD420" s="380"/>
      <c r="BE420" s="380"/>
      <c r="BF420" s="380"/>
      <c r="BG420" s="380"/>
      <c r="BH420" s="380"/>
      <c r="BI420" s="511"/>
      <c r="BJ420" s="380"/>
      <c r="BK420" s="380"/>
      <c r="BL420" s="380"/>
      <c r="BM420" s="380"/>
      <c r="BN420" s="380"/>
      <c r="BO420" s="380"/>
      <c r="BP420" s="380"/>
      <c r="BQ420" s="380"/>
      <c r="BR420" s="380"/>
    </row>
    <row r="421" spans="1:70" ht="12.75" customHeight="1" x14ac:dyDescent="0.25">
      <c r="A421" s="380"/>
      <c r="B421" s="380"/>
      <c r="C421" s="380"/>
      <c r="D421" s="380"/>
      <c r="E421" s="511"/>
      <c r="F421" s="511"/>
      <c r="G421" s="582"/>
      <c r="H421" s="511"/>
      <c r="I421" s="511"/>
      <c r="J421" s="582"/>
      <c r="K421" s="511"/>
      <c r="L421" s="511"/>
      <c r="M421" s="582"/>
      <c r="N421" s="582"/>
      <c r="O421" s="582"/>
      <c r="P421" s="582"/>
      <c r="Q421" s="511"/>
      <c r="R421" s="511"/>
      <c r="S421" s="511"/>
      <c r="T421" s="639"/>
      <c r="U421" s="511"/>
      <c r="V421" s="511"/>
      <c r="W421" s="511"/>
      <c r="X421" s="511"/>
      <c r="Y421" s="380"/>
      <c r="Z421" s="380"/>
      <c r="AA421" s="380"/>
      <c r="AB421" s="380"/>
      <c r="AC421" s="380"/>
      <c r="AD421" s="671"/>
      <c r="AE421" s="380"/>
      <c r="AF421" s="380"/>
      <c r="AG421" s="380"/>
      <c r="AH421" s="671"/>
      <c r="AI421" s="380"/>
      <c r="AJ421" s="583"/>
      <c r="AK421" s="583"/>
      <c r="AL421" s="511"/>
      <c r="AM421" s="584"/>
      <c r="AN421" s="584"/>
      <c r="AO421" s="584"/>
      <c r="AP421" s="671"/>
      <c r="AQ421" s="584"/>
      <c r="AR421" s="583"/>
      <c r="AS421" s="583"/>
      <c r="AT421" s="585"/>
      <c r="AU421" s="585"/>
      <c r="AV421" s="585"/>
      <c r="AW421" s="585"/>
      <c r="AX421" s="673"/>
      <c r="AY421" s="380"/>
      <c r="AZ421" s="380"/>
      <c r="BA421" s="380"/>
      <c r="BB421" s="380"/>
      <c r="BC421" s="380"/>
      <c r="BD421" s="380"/>
      <c r="BE421" s="380"/>
      <c r="BF421" s="380"/>
      <c r="BG421" s="380"/>
      <c r="BH421" s="380"/>
      <c r="BI421" s="511"/>
      <c r="BJ421" s="380"/>
      <c r="BK421" s="380"/>
      <c r="BL421" s="380"/>
      <c r="BM421" s="380"/>
      <c r="BN421" s="380"/>
      <c r="BO421" s="380"/>
      <c r="BP421" s="380"/>
      <c r="BQ421" s="380"/>
      <c r="BR421" s="380"/>
    </row>
    <row r="422" spans="1:70" ht="12.75" customHeight="1" x14ac:dyDescent="0.25">
      <c r="A422" s="380"/>
      <c r="B422" s="380"/>
      <c r="C422" s="380"/>
      <c r="D422" s="380"/>
      <c r="E422" s="511"/>
      <c r="F422" s="511"/>
      <c r="G422" s="582"/>
      <c r="H422" s="511"/>
      <c r="I422" s="511"/>
      <c r="J422" s="582"/>
      <c r="K422" s="511"/>
      <c r="L422" s="511"/>
      <c r="M422" s="582"/>
      <c r="N422" s="582"/>
      <c r="O422" s="582"/>
      <c r="P422" s="582"/>
      <c r="Q422" s="511"/>
      <c r="R422" s="511"/>
      <c r="S422" s="511"/>
      <c r="T422" s="639"/>
      <c r="U422" s="511"/>
      <c r="V422" s="511"/>
      <c r="W422" s="511"/>
      <c r="X422" s="511"/>
      <c r="Y422" s="380"/>
      <c r="Z422" s="380"/>
      <c r="AA422" s="380"/>
      <c r="AB422" s="380"/>
      <c r="AC422" s="380"/>
      <c r="AD422" s="671"/>
      <c r="AE422" s="380"/>
      <c r="AF422" s="380"/>
      <c r="AG422" s="380"/>
      <c r="AH422" s="671"/>
      <c r="AI422" s="380"/>
      <c r="AJ422" s="583"/>
      <c r="AK422" s="583"/>
      <c r="AL422" s="511"/>
      <c r="AM422" s="584"/>
      <c r="AN422" s="584"/>
      <c r="AO422" s="584"/>
      <c r="AP422" s="671"/>
      <c r="AQ422" s="584"/>
      <c r="AR422" s="583"/>
      <c r="AS422" s="583"/>
      <c r="AT422" s="585"/>
      <c r="AU422" s="585"/>
      <c r="AV422" s="585"/>
      <c r="AW422" s="585"/>
      <c r="AX422" s="673"/>
      <c r="AY422" s="380"/>
      <c r="AZ422" s="380"/>
      <c r="BA422" s="380"/>
      <c r="BB422" s="380"/>
      <c r="BC422" s="380"/>
      <c r="BD422" s="380"/>
      <c r="BE422" s="380"/>
      <c r="BF422" s="380"/>
      <c r="BG422" s="380"/>
      <c r="BH422" s="380"/>
      <c r="BI422" s="511"/>
      <c r="BJ422" s="380"/>
      <c r="BK422" s="380"/>
      <c r="BL422" s="380"/>
      <c r="BM422" s="380"/>
      <c r="BN422" s="380"/>
      <c r="BO422" s="380"/>
      <c r="BP422" s="380"/>
      <c r="BQ422" s="380"/>
      <c r="BR422" s="380"/>
    </row>
    <row r="423" spans="1:70" ht="12.75" customHeight="1" x14ac:dyDescent="0.25">
      <c r="A423" s="380"/>
      <c r="B423" s="380"/>
      <c r="C423" s="380"/>
      <c r="D423" s="380"/>
      <c r="E423" s="511"/>
      <c r="F423" s="511"/>
      <c r="G423" s="582"/>
      <c r="H423" s="511"/>
      <c r="I423" s="511"/>
      <c r="J423" s="582"/>
      <c r="K423" s="511"/>
      <c r="L423" s="511"/>
      <c r="M423" s="582"/>
      <c r="N423" s="582"/>
      <c r="O423" s="582"/>
      <c r="P423" s="582"/>
      <c r="Q423" s="511"/>
      <c r="R423" s="511"/>
      <c r="S423" s="511"/>
      <c r="T423" s="639"/>
      <c r="U423" s="511"/>
      <c r="V423" s="511"/>
      <c r="W423" s="511"/>
      <c r="X423" s="511"/>
      <c r="Y423" s="380"/>
      <c r="Z423" s="380"/>
      <c r="AA423" s="380"/>
      <c r="AB423" s="380"/>
      <c r="AC423" s="380"/>
      <c r="AD423" s="671"/>
      <c r="AE423" s="380"/>
      <c r="AF423" s="380"/>
      <c r="AG423" s="380"/>
      <c r="AH423" s="671"/>
      <c r="AI423" s="380"/>
      <c r="AJ423" s="583"/>
      <c r="AK423" s="583"/>
      <c r="AL423" s="511"/>
      <c r="AM423" s="584"/>
      <c r="AN423" s="584"/>
      <c r="AO423" s="584"/>
      <c r="AP423" s="671"/>
      <c r="AQ423" s="584"/>
      <c r="AR423" s="583"/>
      <c r="AS423" s="583"/>
      <c r="AT423" s="585"/>
      <c r="AU423" s="585"/>
      <c r="AV423" s="585"/>
      <c r="AW423" s="585"/>
      <c r="AX423" s="673"/>
      <c r="AY423" s="380"/>
      <c r="AZ423" s="380"/>
      <c r="BA423" s="380"/>
      <c r="BB423" s="380"/>
      <c r="BC423" s="380"/>
      <c r="BD423" s="380"/>
      <c r="BE423" s="380"/>
      <c r="BF423" s="380"/>
      <c r="BG423" s="380"/>
      <c r="BH423" s="380"/>
      <c r="BI423" s="511"/>
      <c r="BJ423" s="380"/>
      <c r="BK423" s="380"/>
      <c r="BL423" s="380"/>
      <c r="BM423" s="380"/>
      <c r="BN423" s="380"/>
      <c r="BO423" s="380"/>
      <c r="BP423" s="380"/>
      <c r="BQ423" s="380"/>
      <c r="BR423" s="380"/>
    </row>
    <row r="424" spans="1:70" ht="12.75" customHeight="1" x14ac:dyDescent="0.25">
      <c r="A424" s="380"/>
      <c r="B424" s="380"/>
      <c r="C424" s="380"/>
      <c r="D424" s="380"/>
      <c r="E424" s="511"/>
      <c r="F424" s="511"/>
      <c r="G424" s="582"/>
      <c r="H424" s="511"/>
      <c r="I424" s="511"/>
      <c r="J424" s="582"/>
      <c r="K424" s="511"/>
      <c r="L424" s="511"/>
      <c r="M424" s="582"/>
      <c r="N424" s="582"/>
      <c r="O424" s="582"/>
      <c r="P424" s="582"/>
      <c r="Q424" s="511"/>
      <c r="R424" s="511"/>
      <c r="S424" s="511"/>
      <c r="T424" s="639"/>
      <c r="U424" s="511"/>
      <c r="V424" s="511"/>
      <c r="W424" s="511"/>
      <c r="X424" s="511"/>
      <c r="Y424" s="380"/>
      <c r="Z424" s="380"/>
      <c r="AA424" s="380"/>
      <c r="AB424" s="380"/>
      <c r="AC424" s="380"/>
      <c r="AD424" s="671"/>
      <c r="AE424" s="380"/>
      <c r="AF424" s="380"/>
      <c r="AG424" s="380"/>
      <c r="AH424" s="671"/>
      <c r="AI424" s="380"/>
      <c r="AJ424" s="583"/>
      <c r="AK424" s="583"/>
      <c r="AL424" s="511"/>
      <c r="AM424" s="584"/>
      <c r="AN424" s="584"/>
      <c r="AO424" s="584"/>
      <c r="AP424" s="671"/>
      <c r="AQ424" s="584"/>
      <c r="AR424" s="583"/>
      <c r="AS424" s="583"/>
      <c r="AT424" s="585"/>
      <c r="AU424" s="585"/>
      <c r="AV424" s="585"/>
      <c r="AW424" s="585"/>
      <c r="AX424" s="673"/>
      <c r="AY424" s="380"/>
      <c r="AZ424" s="380"/>
      <c r="BA424" s="380"/>
      <c r="BB424" s="380"/>
      <c r="BC424" s="380"/>
      <c r="BD424" s="380"/>
      <c r="BE424" s="380"/>
      <c r="BF424" s="380"/>
      <c r="BG424" s="380"/>
      <c r="BH424" s="380"/>
      <c r="BI424" s="511"/>
      <c r="BJ424" s="380"/>
      <c r="BK424" s="380"/>
      <c r="BL424" s="380"/>
      <c r="BM424" s="380"/>
      <c r="BN424" s="380"/>
      <c r="BO424" s="380"/>
      <c r="BP424" s="380"/>
      <c r="BQ424" s="380"/>
      <c r="BR424" s="380"/>
    </row>
    <row r="425" spans="1:70" ht="12.75" customHeight="1" x14ac:dyDescent="0.25">
      <c r="A425" s="380"/>
      <c r="B425" s="380"/>
      <c r="C425" s="380"/>
      <c r="D425" s="380"/>
      <c r="E425" s="511"/>
      <c r="F425" s="511"/>
      <c r="G425" s="582"/>
      <c r="H425" s="511"/>
      <c r="I425" s="511"/>
      <c r="J425" s="582"/>
      <c r="K425" s="511"/>
      <c r="L425" s="511"/>
      <c r="M425" s="582"/>
      <c r="N425" s="582"/>
      <c r="O425" s="582"/>
      <c r="P425" s="582"/>
      <c r="Q425" s="511"/>
      <c r="R425" s="511"/>
      <c r="S425" s="511"/>
      <c r="T425" s="639"/>
      <c r="U425" s="511"/>
      <c r="V425" s="511"/>
      <c r="W425" s="511"/>
      <c r="X425" s="511"/>
      <c r="Y425" s="380"/>
      <c r="Z425" s="380"/>
      <c r="AA425" s="380"/>
      <c r="AB425" s="380"/>
      <c r="AC425" s="380"/>
      <c r="AD425" s="671"/>
      <c r="AE425" s="380"/>
      <c r="AF425" s="380"/>
      <c r="AG425" s="380"/>
      <c r="AH425" s="671"/>
      <c r="AI425" s="380"/>
      <c r="AJ425" s="583"/>
      <c r="AK425" s="583"/>
      <c r="AL425" s="511"/>
      <c r="AM425" s="584"/>
      <c r="AN425" s="584"/>
      <c r="AO425" s="584"/>
      <c r="AP425" s="671"/>
      <c r="AQ425" s="584"/>
      <c r="AR425" s="583"/>
      <c r="AS425" s="583"/>
      <c r="AT425" s="585"/>
      <c r="AU425" s="585"/>
      <c r="AV425" s="585"/>
      <c r="AW425" s="585"/>
      <c r="AX425" s="673"/>
      <c r="AY425" s="380"/>
      <c r="AZ425" s="380"/>
      <c r="BA425" s="380"/>
      <c r="BB425" s="380"/>
      <c r="BC425" s="380"/>
      <c r="BD425" s="380"/>
      <c r="BE425" s="380"/>
      <c r="BF425" s="380"/>
      <c r="BG425" s="380"/>
      <c r="BH425" s="380"/>
      <c r="BI425" s="511"/>
      <c r="BJ425" s="380"/>
      <c r="BK425" s="380"/>
      <c r="BL425" s="380"/>
      <c r="BM425" s="380"/>
      <c r="BN425" s="380"/>
      <c r="BO425" s="380"/>
      <c r="BP425" s="380"/>
      <c r="BQ425" s="380"/>
      <c r="BR425" s="380"/>
    </row>
    <row r="426" spans="1:70" ht="12.75" customHeight="1" x14ac:dyDescent="0.25">
      <c r="A426" s="380"/>
      <c r="B426" s="380"/>
      <c r="C426" s="380"/>
      <c r="D426" s="380"/>
      <c r="E426" s="511"/>
      <c r="F426" s="511"/>
      <c r="G426" s="582"/>
      <c r="H426" s="511"/>
      <c r="I426" s="511"/>
      <c r="J426" s="582"/>
      <c r="K426" s="511"/>
      <c r="L426" s="511"/>
      <c r="M426" s="582"/>
      <c r="N426" s="582"/>
      <c r="O426" s="582"/>
      <c r="P426" s="582"/>
      <c r="Q426" s="511"/>
      <c r="R426" s="511"/>
      <c r="S426" s="511"/>
      <c r="T426" s="639"/>
      <c r="U426" s="511"/>
      <c r="V426" s="511"/>
      <c r="W426" s="511"/>
      <c r="X426" s="511"/>
      <c r="Y426" s="380"/>
      <c r="Z426" s="380"/>
      <c r="AA426" s="380"/>
      <c r="AB426" s="380"/>
      <c r="AC426" s="380"/>
      <c r="AD426" s="671"/>
      <c r="AE426" s="380"/>
      <c r="AF426" s="380"/>
      <c r="AG426" s="380"/>
      <c r="AH426" s="671"/>
      <c r="AI426" s="380"/>
      <c r="AJ426" s="583"/>
      <c r="AK426" s="583"/>
      <c r="AL426" s="511"/>
      <c r="AM426" s="584"/>
      <c r="AN426" s="584"/>
      <c r="AO426" s="584"/>
      <c r="AP426" s="671"/>
      <c r="AQ426" s="584"/>
      <c r="AR426" s="583"/>
      <c r="AS426" s="583"/>
      <c r="AT426" s="585"/>
      <c r="AU426" s="585"/>
      <c r="AV426" s="585"/>
      <c r="AW426" s="585"/>
      <c r="AX426" s="673"/>
      <c r="AY426" s="380"/>
      <c r="AZ426" s="380"/>
      <c r="BA426" s="380"/>
      <c r="BB426" s="380"/>
      <c r="BC426" s="380"/>
      <c r="BD426" s="380"/>
      <c r="BE426" s="380"/>
      <c r="BF426" s="380"/>
      <c r="BG426" s="380"/>
      <c r="BH426" s="380"/>
      <c r="BI426" s="511"/>
      <c r="BJ426" s="380"/>
      <c r="BK426" s="380"/>
      <c r="BL426" s="380"/>
      <c r="BM426" s="380"/>
      <c r="BN426" s="380"/>
      <c r="BO426" s="380"/>
      <c r="BP426" s="380"/>
      <c r="BQ426" s="380"/>
      <c r="BR426" s="380"/>
    </row>
    <row r="427" spans="1:70" ht="12.75" customHeight="1" x14ac:dyDescent="0.25">
      <c r="A427" s="380"/>
      <c r="B427" s="380"/>
      <c r="C427" s="380"/>
      <c r="D427" s="380"/>
      <c r="E427" s="511"/>
      <c r="F427" s="511"/>
      <c r="G427" s="582"/>
      <c r="H427" s="511"/>
      <c r="I427" s="511"/>
      <c r="J427" s="582"/>
      <c r="K427" s="511"/>
      <c r="L427" s="511"/>
      <c r="M427" s="582"/>
      <c r="N427" s="582"/>
      <c r="O427" s="582"/>
      <c r="P427" s="582"/>
      <c r="Q427" s="511"/>
      <c r="R427" s="511"/>
      <c r="S427" s="511"/>
      <c r="T427" s="639"/>
      <c r="U427" s="511"/>
      <c r="V427" s="511"/>
      <c r="W427" s="511"/>
      <c r="X427" s="511"/>
      <c r="Y427" s="380"/>
      <c r="Z427" s="380"/>
      <c r="AA427" s="380"/>
      <c r="AB427" s="380"/>
      <c r="AC427" s="380"/>
      <c r="AD427" s="671"/>
      <c r="AE427" s="380"/>
      <c r="AF427" s="380"/>
      <c r="AG427" s="380"/>
      <c r="AH427" s="671"/>
      <c r="AI427" s="380"/>
      <c r="AJ427" s="583"/>
      <c r="AK427" s="583"/>
      <c r="AL427" s="511"/>
      <c r="AM427" s="584"/>
      <c r="AN427" s="584"/>
      <c r="AO427" s="584"/>
      <c r="AP427" s="671"/>
      <c r="AQ427" s="584"/>
      <c r="AR427" s="583"/>
      <c r="AS427" s="583"/>
      <c r="AT427" s="585"/>
      <c r="AU427" s="585"/>
      <c r="AV427" s="585"/>
      <c r="AW427" s="585"/>
      <c r="AX427" s="673"/>
      <c r="AY427" s="380"/>
      <c r="AZ427" s="380"/>
      <c r="BA427" s="380"/>
      <c r="BB427" s="380"/>
      <c r="BC427" s="380"/>
      <c r="BD427" s="380"/>
      <c r="BE427" s="380"/>
      <c r="BF427" s="380"/>
      <c r="BG427" s="380"/>
      <c r="BH427" s="380"/>
      <c r="BI427" s="511"/>
      <c r="BJ427" s="380"/>
      <c r="BK427" s="380"/>
      <c r="BL427" s="380"/>
      <c r="BM427" s="380"/>
      <c r="BN427" s="380"/>
      <c r="BO427" s="380"/>
      <c r="BP427" s="380"/>
      <c r="BQ427" s="380"/>
      <c r="BR427" s="380"/>
    </row>
    <row r="428" spans="1:70" ht="12.75" customHeight="1" x14ac:dyDescent="0.25">
      <c r="A428" s="380"/>
      <c r="B428" s="380"/>
      <c r="C428" s="380"/>
      <c r="D428" s="380"/>
      <c r="E428" s="511"/>
      <c r="F428" s="511"/>
      <c r="G428" s="582"/>
      <c r="H428" s="511"/>
      <c r="I428" s="511"/>
      <c r="J428" s="582"/>
      <c r="K428" s="511"/>
      <c r="L428" s="511"/>
      <c r="M428" s="582"/>
      <c r="N428" s="582"/>
      <c r="O428" s="582"/>
      <c r="P428" s="582"/>
      <c r="Q428" s="511"/>
      <c r="R428" s="511"/>
      <c r="S428" s="511"/>
      <c r="T428" s="639"/>
      <c r="U428" s="511"/>
      <c r="V428" s="511"/>
      <c r="W428" s="511"/>
      <c r="X428" s="511"/>
      <c r="Y428" s="380"/>
      <c r="Z428" s="380"/>
      <c r="AA428" s="380"/>
      <c r="AB428" s="380"/>
      <c r="AC428" s="380"/>
      <c r="AD428" s="671"/>
      <c r="AE428" s="380"/>
      <c r="AF428" s="380"/>
      <c r="AG428" s="380"/>
      <c r="AH428" s="671"/>
      <c r="AI428" s="380"/>
      <c r="AJ428" s="583"/>
      <c r="AK428" s="583"/>
      <c r="AL428" s="511"/>
      <c r="AM428" s="584"/>
      <c r="AN428" s="584"/>
      <c r="AO428" s="584"/>
      <c r="AP428" s="671"/>
      <c r="AQ428" s="584"/>
      <c r="AR428" s="583"/>
      <c r="AS428" s="583"/>
      <c r="AT428" s="585"/>
      <c r="AU428" s="585"/>
      <c r="AV428" s="585"/>
      <c r="AW428" s="585"/>
      <c r="AX428" s="673"/>
      <c r="AY428" s="380"/>
      <c r="AZ428" s="380"/>
      <c r="BA428" s="380"/>
      <c r="BB428" s="380"/>
      <c r="BC428" s="380"/>
      <c r="BD428" s="380"/>
      <c r="BE428" s="380"/>
      <c r="BF428" s="380"/>
      <c r="BG428" s="380"/>
      <c r="BH428" s="380"/>
      <c r="BI428" s="511"/>
      <c r="BJ428" s="380"/>
      <c r="BK428" s="380"/>
      <c r="BL428" s="380"/>
      <c r="BM428" s="380"/>
      <c r="BN428" s="380"/>
      <c r="BO428" s="380"/>
      <c r="BP428" s="380"/>
      <c r="BQ428" s="380"/>
      <c r="BR428" s="380"/>
    </row>
    <row r="429" spans="1:70" ht="12.75" customHeight="1" x14ac:dyDescent="0.25">
      <c r="A429" s="380"/>
      <c r="B429" s="380"/>
      <c r="C429" s="380"/>
      <c r="D429" s="380"/>
      <c r="E429" s="511"/>
      <c r="F429" s="511"/>
      <c r="G429" s="582"/>
      <c r="H429" s="511"/>
      <c r="I429" s="511"/>
      <c r="J429" s="582"/>
      <c r="K429" s="511"/>
      <c r="L429" s="511"/>
      <c r="M429" s="582"/>
      <c r="N429" s="582"/>
      <c r="O429" s="582"/>
      <c r="P429" s="582"/>
      <c r="Q429" s="511"/>
      <c r="R429" s="511"/>
      <c r="S429" s="511"/>
      <c r="T429" s="639"/>
      <c r="U429" s="511"/>
      <c r="V429" s="511"/>
      <c r="W429" s="511"/>
      <c r="X429" s="511"/>
      <c r="Y429" s="380"/>
      <c r="Z429" s="380"/>
      <c r="AA429" s="380"/>
      <c r="AB429" s="380"/>
      <c r="AC429" s="380"/>
      <c r="AD429" s="671"/>
      <c r="AE429" s="380"/>
      <c r="AF429" s="380"/>
      <c r="AG429" s="380"/>
      <c r="AH429" s="671"/>
      <c r="AI429" s="380"/>
      <c r="AJ429" s="583"/>
      <c r="AK429" s="583"/>
      <c r="AL429" s="511"/>
      <c r="AM429" s="584"/>
      <c r="AN429" s="584"/>
      <c r="AO429" s="584"/>
      <c r="AP429" s="671"/>
      <c r="AQ429" s="584"/>
      <c r="AR429" s="583"/>
      <c r="AS429" s="583"/>
      <c r="AT429" s="585"/>
      <c r="AU429" s="585"/>
      <c r="AV429" s="585"/>
      <c r="AW429" s="585"/>
      <c r="AX429" s="673"/>
      <c r="AY429" s="380"/>
      <c r="AZ429" s="380"/>
      <c r="BA429" s="380"/>
      <c r="BB429" s="380"/>
      <c r="BC429" s="380"/>
      <c r="BD429" s="380"/>
      <c r="BE429" s="380"/>
      <c r="BF429" s="380"/>
      <c r="BG429" s="380"/>
      <c r="BH429" s="380"/>
      <c r="BI429" s="511"/>
      <c r="BJ429" s="380"/>
      <c r="BK429" s="380"/>
      <c r="BL429" s="380"/>
      <c r="BM429" s="380"/>
      <c r="BN429" s="380"/>
      <c r="BO429" s="380"/>
      <c r="BP429" s="380"/>
      <c r="BQ429" s="380"/>
      <c r="BR429" s="380"/>
    </row>
    <row r="430" spans="1:70" ht="12.75" customHeight="1" x14ac:dyDescent="0.25">
      <c r="A430" s="380"/>
      <c r="B430" s="380"/>
      <c r="C430" s="380"/>
      <c r="D430" s="380"/>
      <c r="E430" s="511"/>
      <c r="F430" s="511"/>
      <c r="G430" s="582"/>
      <c r="H430" s="511"/>
      <c r="I430" s="511"/>
      <c r="J430" s="582"/>
      <c r="K430" s="511"/>
      <c r="L430" s="511"/>
      <c r="M430" s="582"/>
      <c r="N430" s="582"/>
      <c r="O430" s="582"/>
      <c r="P430" s="582"/>
      <c r="Q430" s="511"/>
      <c r="R430" s="511"/>
      <c r="S430" s="511"/>
      <c r="T430" s="639"/>
      <c r="U430" s="511"/>
      <c r="V430" s="511"/>
      <c r="W430" s="511"/>
      <c r="X430" s="511"/>
      <c r="Y430" s="380"/>
      <c r="Z430" s="380"/>
      <c r="AA430" s="380"/>
      <c r="AB430" s="380"/>
      <c r="AC430" s="380"/>
      <c r="AD430" s="671"/>
      <c r="AE430" s="380"/>
      <c r="AF430" s="380"/>
      <c r="AG430" s="380"/>
      <c r="AH430" s="671"/>
      <c r="AI430" s="380"/>
      <c r="AJ430" s="583"/>
      <c r="AK430" s="583"/>
      <c r="AL430" s="511"/>
      <c r="AM430" s="584"/>
      <c r="AN430" s="584"/>
      <c r="AO430" s="584"/>
      <c r="AP430" s="671"/>
      <c r="AQ430" s="584"/>
      <c r="AR430" s="583"/>
      <c r="AS430" s="583"/>
      <c r="AT430" s="585"/>
      <c r="AU430" s="585"/>
      <c r="AV430" s="585"/>
      <c r="AW430" s="585"/>
      <c r="AX430" s="673"/>
      <c r="AY430" s="380"/>
      <c r="AZ430" s="380"/>
      <c r="BA430" s="380"/>
      <c r="BB430" s="380"/>
      <c r="BC430" s="380"/>
      <c r="BD430" s="380"/>
      <c r="BE430" s="380"/>
      <c r="BF430" s="380"/>
      <c r="BG430" s="380"/>
      <c r="BH430" s="380"/>
      <c r="BI430" s="511"/>
      <c r="BJ430" s="380"/>
      <c r="BK430" s="380"/>
      <c r="BL430" s="380"/>
      <c r="BM430" s="380"/>
      <c r="BN430" s="380"/>
      <c r="BO430" s="380"/>
      <c r="BP430" s="380"/>
      <c r="BQ430" s="380"/>
      <c r="BR430" s="380"/>
    </row>
    <row r="431" spans="1:70" ht="12.75" customHeight="1" x14ac:dyDescent="0.25">
      <c r="A431" s="380"/>
      <c r="B431" s="380"/>
      <c r="C431" s="380"/>
      <c r="D431" s="380"/>
      <c r="E431" s="511"/>
      <c r="F431" s="511"/>
      <c r="G431" s="582"/>
      <c r="H431" s="511"/>
      <c r="I431" s="511"/>
      <c r="J431" s="582"/>
      <c r="K431" s="511"/>
      <c r="L431" s="511"/>
      <c r="M431" s="582"/>
      <c r="N431" s="582"/>
      <c r="O431" s="582"/>
      <c r="P431" s="582"/>
      <c r="Q431" s="511"/>
      <c r="R431" s="511"/>
      <c r="S431" s="511"/>
      <c r="T431" s="639"/>
      <c r="U431" s="511"/>
      <c r="V431" s="511"/>
      <c r="W431" s="511"/>
      <c r="X431" s="511"/>
      <c r="Y431" s="380"/>
      <c r="Z431" s="380"/>
      <c r="AA431" s="380"/>
      <c r="AB431" s="380"/>
      <c r="AC431" s="380"/>
      <c r="AD431" s="671"/>
      <c r="AE431" s="380"/>
      <c r="AF431" s="380"/>
      <c r="AG431" s="380"/>
      <c r="AH431" s="671"/>
      <c r="AI431" s="380"/>
      <c r="AJ431" s="583"/>
      <c r="AK431" s="583"/>
      <c r="AL431" s="511"/>
      <c r="AM431" s="584"/>
      <c r="AN431" s="584"/>
      <c r="AO431" s="584"/>
      <c r="AP431" s="671"/>
      <c r="AQ431" s="584"/>
      <c r="AR431" s="583"/>
      <c r="AS431" s="583"/>
      <c r="AT431" s="585"/>
      <c r="AU431" s="585"/>
      <c r="AV431" s="585"/>
      <c r="AW431" s="585"/>
      <c r="AX431" s="673"/>
      <c r="AY431" s="380"/>
      <c r="AZ431" s="380"/>
      <c r="BA431" s="380"/>
      <c r="BB431" s="380"/>
      <c r="BC431" s="380"/>
      <c r="BD431" s="380"/>
      <c r="BE431" s="380"/>
      <c r="BF431" s="380"/>
      <c r="BG431" s="380"/>
      <c r="BH431" s="380"/>
      <c r="BI431" s="511"/>
      <c r="BJ431" s="380"/>
      <c r="BK431" s="380"/>
      <c r="BL431" s="380"/>
      <c r="BM431" s="380"/>
      <c r="BN431" s="380"/>
      <c r="BO431" s="380"/>
      <c r="BP431" s="380"/>
      <c r="BQ431" s="380"/>
      <c r="BR431" s="380"/>
    </row>
    <row r="432" spans="1:70" ht="12.75" customHeight="1" x14ac:dyDescent="0.25">
      <c r="A432" s="380"/>
      <c r="B432" s="380"/>
      <c r="C432" s="380"/>
      <c r="D432" s="380"/>
      <c r="E432" s="511"/>
      <c r="F432" s="511"/>
      <c r="G432" s="582"/>
      <c r="H432" s="511"/>
      <c r="I432" s="511"/>
      <c r="J432" s="582"/>
      <c r="K432" s="511"/>
      <c r="L432" s="511"/>
      <c r="M432" s="582"/>
      <c r="N432" s="582"/>
      <c r="O432" s="582"/>
      <c r="P432" s="582"/>
      <c r="Q432" s="511"/>
      <c r="R432" s="511"/>
      <c r="S432" s="511"/>
      <c r="T432" s="639"/>
      <c r="U432" s="511"/>
      <c r="V432" s="511"/>
      <c r="W432" s="511"/>
      <c r="X432" s="511"/>
      <c r="Y432" s="380"/>
      <c r="Z432" s="380"/>
      <c r="AA432" s="380"/>
      <c r="AB432" s="380"/>
      <c r="AC432" s="380"/>
      <c r="AD432" s="671"/>
      <c r="AE432" s="380"/>
      <c r="AF432" s="380"/>
      <c r="AG432" s="380"/>
      <c r="AH432" s="671"/>
      <c r="AI432" s="380"/>
      <c r="AJ432" s="583"/>
      <c r="AK432" s="583"/>
      <c r="AL432" s="511"/>
      <c r="AM432" s="584"/>
      <c r="AN432" s="584"/>
      <c r="AO432" s="584"/>
      <c r="AP432" s="671"/>
      <c r="AQ432" s="584"/>
      <c r="AR432" s="583"/>
      <c r="AS432" s="583"/>
      <c r="AT432" s="585"/>
      <c r="AU432" s="585"/>
      <c r="AV432" s="585"/>
      <c r="AW432" s="585"/>
      <c r="AX432" s="673"/>
      <c r="AY432" s="380"/>
      <c r="AZ432" s="380"/>
      <c r="BA432" s="380"/>
      <c r="BB432" s="380"/>
      <c r="BC432" s="380"/>
      <c r="BD432" s="380"/>
      <c r="BE432" s="380"/>
      <c r="BF432" s="380"/>
      <c r="BG432" s="380"/>
      <c r="BH432" s="380"/>
      <c r="BI432" s="511"/>
      <c r="BJ432" s="380"/>
      <c r="BK432" s="380"/>
      <c r="BL432" s="380"/>
      <c r="BM432" s="380"/>
      <c r="BN432" s="380"/>
      <c r="BO432" s="380"/>
      <c r="BP432" s="380"/>
      <c r="BQ432" s="380"/>
      <c r="BR432" s="380"/>
    </row>
    <row r="433" spans="1:70" ht="12.75" customHeight="1" x14ac:dyDescent="0.25">
      <c r="A433" s="380"/>
      <c r="B433" s="380"/>
      <c r="C433" s="380"/>
      <c r="D433" s="380"/>
      <c r="E433" s="511"/>
      <c r="F433" s="511"/>
      <c r="G433" s="582"/>
      <c r="H433" s="511"/>
      <c r="I433" s="511"/>
      <c r="J433" s="582"/>
      <c r="K433" s="511"/>
      <c r="L433" s="511"/>
      <c r="M433" s="582"/>
      <c r="N433" s="582"/>
      <c r="O433" s="582"/>
      <c r="P433" s="582"/>
      <c r="Q433" s="511"/>
      <c r="R433" s="511"/>
      <c r="S433" s="511"/>
      <c r="T433" s="639"/>
      <c r="U433" s="511"/>
      <c r="V433" s="511"/>
      <c r="W433" s="511"/>
      <c r="X433" s="511"/>
      <c r="Y433" s="380"/>
      <c r="Z433" s="380"/>
      <c r="AA433" s="380"/>
      <c r="AB433" s="380"/>
      <c r="AC433" s="380"/>
      <c r="AD433" s="671"/>
      <c r="AE433" s="380"/>
      <c r="AF433" s="380"/>
      <c r="AG433" s="380"/>
      <c r="AH433" s="671"/>
      <c r="AI433" s="380"/>
      <c r="AJ433" s="583"/>
      <c r="AK433" s="583"/>
      <c r="AL433" s="511"/>
      <c r="AM433" s="584"/>
      <c r="AN433" s="584"/>
      <c r="AO433" s="584"/>
      <c r="AP433" s="671"/>
      <c r="AQ433" s="584"/>
      <c r="AR433" s="583"/>
      <c r="AS433" s="583"/>
      <c r="AT433" s="585"/>
      <c r="AU433" s="585"/>
      <c r="AV433" s="585"/>
      <c r="AW433" s="585"/>
      <c r="AX433" s="673"/>
      <c r="AY433" s="380"/>
      <c r="AZ433" s="380"/>
      <c r="BA433" s="380"/>
      <c r="BB433" s="380"/>
      <c r="BC433" s="380"/>
      <c r="BD433" s="380"/>
      <c r="BE433" s="380"/>
      <c r="BF433" s="380"/>
      <c r="BG433" s="380"/>
      <c r="BH433" s="380"/>
      <c r="BI433" s="511"/>
      <c r="BJ433" s="380"/>
      <c r="BK433" s="380"/>
      <c r="BL433" s="380"/>
      <c r="BM433" s="380"/>
      <c r="BN433" s="380"/>
      <c r="BO433" s="380"/>
      <c r="BP433" s="380"/>
      <c r="BQ433" s="380"/>
      <c r="BR433" s="380"/>
    </row>
    <row r="434" spans="1:70" ht="12.75" customHeight="1" x14ac:dyDescent="0.25">
      <c r="A434" s="380"/>
      <c r="B434" s="380"/>
      <c r="C434" s="380"/>
      <c r="D434" s="380"/>
      <c r="E434" s="511"/>
      <c r="F434" s="511"/>
      <c r="G434" s="582"/>
      <c r="H434" s="511"/>
      <c r="I434" s="511"/>
      <c r="J434" s="582"/>
      <c r="K434" s="511"/>
      <c r="L434" s="511"/>
      <c r="M434" s="582"/>
      <c r="N434" s="582"/>
      <c r="O434" s="582"/>
      <c r="P434" s="582"/>
      <c r="Q434" s="511"/>
      <c r="R434" s="511"/>
      <c r="S434" s="511"/>
      <c r="T434" s="639"/>
      <c r="U434" s="511"/>
      <c r="V434" s="511"/>
      <c r="W434" s="511"/>
      <c r="X434" s="511"/>
      <c r="Y434" s="380"/>
      <c r="Z434" s="380"/>
      <c r="AA434" s="380"/>
      <c r="AB434" s="380"/>
      <c r="AC434" s="380"/>
      <c r="AD434" s="671"/>
      <c r="AE434" s="380"/>
      <c r="AF434" s="380"/>
      <c r="AG434" s="380"/>
      <c r="AH434" s="671"/>
      <c r="AI434" s="380"/>
      <c r="AJ434" s="583"/>
      <c r="AK434" s="583"/>
      <c r="AL434" s="511"/>
      <c r="AM434" s="584"/>
      <c r="AN434" s="584"/>
      <c r="AO434" s="584"/>
      <c r="AP434" s="671"/>
      <c r="AQ434" s="584"/>
      <c r="AR434" s="583"/>
      <c r="AS434" s="583"/>
      <c r="AT434" s="585"/>
      <c r="AU434" s="585"/>
      <c r="AV434" s="585"/>
      <c r="AW434" s="585"/>
      <c r="AX434" s="673"/>
      <c r="AY434" s="380"/>
      <c r="AZ434" s="380"/>
      <c r="BA434" s="380"/>
      <c r="BB434" s="380"/>
      <c r="BC434" s="380"/>
      <c r="BD434" s="380"/>
      <c r="BE434" s="380"/>
      <c r="BF434" s="380"/>
      <c r="BG434" s="380"/>
      <c r="BH434" s="380"/>
      <c r="BI434" s="511"/>
      <c r="BJ434" s="380"/>
      <c r="BK434" s="380"/>
      <c r="BL434" s="380"/>
      <c r="BM434" s="380"/>
      <c r="BN434" s="380"/>
      <c r="BO434" s="380"/>
      <c r="BP434" s="380"/>
      <c r="BQ434" s="380"/>
      <c r="BR434" s="380"/>
    </row>
    <row r="435" spans="1:70" ht="12.75" customHeight="1" x14ac:dyDescent="0.25">
      <c r="A435" s="380"/>
      <c r="B435" s="380"/>
      <c r="C435" s="380"/>
      <c r="D435" s="380"/>
      <c r="E435" s="511"/>
      <c r="F435" s="511"/>
      <c r="G435" s="582"/>
      <c r="H435" s="511"/>
      <c r="I435" s="511"/>
      <c r="J435" s="582"/>
      <c r="K435" s="511"/>
      <c r="L435" s="511"/>
      <c r="M435" s="582"/>
      <c r="N435" s="582"/>
      <c r="O435" s="582"/>
      <c r="P435" s="582"/>
      <c r="Q435" s="511"/>
      <c r="R435" s="511"/>
      <c r="S435" s="511"/>
      <c r="T435" s="639"/>
      <c r="U435" s="511"/>
      <c r="V435" s="511"/>
      <c r="W435" s="511"/>
      <c r="X435" s="511"/>
      <c r="Y435" s="380"/>
      <c r="Z435" s="380"/>
      <c r="AA435" s="380"/>
      <c r="AB435" s="380"/>
      <c r="AC435" s="380"/>
      <c r="AD435" s="671"/>
      <c r="AE435" s="380"/>
      <c r="AF435" s="380"/>
      <c r="AG435" s="380"/>
      <c r="AH435" s="671"/>
      <c r="AI435" s="380"/>
      <c r="AJ435" s="583"/>
      <c r="AK435" s="583"/>
      <c r="AL435" s="511"/>
      <c r="AM435" s="584"/>
      <c r="AN435" s="584"/>
      <c r="AO435" s="584"/>
      <c r="AP435" s="671"/>
      <c r="AQ435" s="584"/>
      <c r="AR435" s="583"/>
      <c r="AS435" s="583"/>
      <c r="AT435" s="585"/>
      <c r="AU435" s="585"/>
      <c r="AV435" s="585"/>
      <c r="AW435" s="585"/>
      <c r="AX435" s="673"/>
      <c r="AY435" s="380"/>
      <c r="AZ435" s="380"/>
      <c r="BA435" s="380"/>
      <c r="BB435" s="380"/>
      <c r="BC435" s="380"/>
      <c r="BD435" s="380"/>
      <c r="BE435" s="380"/>
      <c r="BF435" s="380"/>
      <c r="BG435" s="380"/>
      <c r="BH435" s="380"/>
      <c r="BI435" s="511"/>
      <c r="BJ435" s="380"/>
      <c r="BK435" s="380"/>
      <c r="BL435" s="380"/>
      <c r="BM435" s="380"/>
      <c r="BN435" s="380"/>
      <c r="BO435" s="380"/>
      <c r="BP435" s="380"/>
      <c r="BQ435" s="380"/>
      <c r="BR435" s="380"/>
    </row>
    <row r="436" spans="1:70" ht="12.75" customHeight="1" x14ac:dyDescent="0.25">
      <c r="A436" s="380"/>
      <c r="B436" s="380"/>
      <c r="C436" s="380"/>
      <c r="D436" s="380"/>
      <c r="E436" s="511"/>
      <c r="F436" s="511"/>
      <c r="G436" s="582"/>
      <c r="H436" s="511"/>
      <c r="I436" s="511"/>
      <c r="J436" s="582"/>
      <c r="K436" s="511"/>
      <c r="L436" s="511"/>
      <c r="M436" s="582"/>
      <c r="N436" s="582"/>
      <c r="O436" s="582"/>
      <c r="P436" s="582"/>
      <c r="Q436" s="511"/>
      <c r="R436" s="511"/>
      <c r="S436" s="511"/>
      <c r="T436" s="639"/>
      <c r="U436" s="511"/>
      <c r="V436" s="511"/>
      <c r="W436" s="511"/>
      <c r="X436" s="511"/>
      <c r="Y436" s="380"/>
      <c r="Z436" s="380"/>
      <c r="AA436" s="380"/>
      <c r="AB436" s="380"/>
      <c r="AC436" s="380"/>
      <c r="AD436" s="671"/>
      <c r="AE436" s="380"/>
      <c r="AF436" s="380"/>
      <c r="AG436" s="380"/>
      <c r="AH436" s="671"/>
      <c r="AI436" s="380"/>
      <c r="AJ436" s="583"/>
      <c r="AK436" s="583"/>
      <c r="AL436" s="511"/>
      <c r="AM436" s="584"/>
      <c r="AN436" s="584"/>
      <c r="AO436" s="584"/>
      <c r="AP436" s="671"/>
      <c r="AQ436" s="584"/>
      <c r="AR436" s="583"/>
      <c r="AS436" s="583"/>
      <c r="AT436" s="585"/>
      <c r="AU436" s="585"/>
      <c r="AV436" s="585"/>
      <c r="AW436" s="585"/>
      <c r="AX436" s="673"/>
      <c r="AY436" s="380"/>
      <c r="AZ436" s="380"/>
      <c r="BA436" s="380"/>
      <c r="BB436" s="380"/>
      <c r="BC436" s="380"/>
      <c r="BD436" s="380"/>
      <c r="BE436" s="380"/>
      <c r="BF436" s="380"/>
      <c r="BG436" s="380"/>
      <c r="BH436" s="380"/>
      <c r="BI436" s="511"/>
      <c r="BJ436" s="380"/>
      <c r="BK436" s="380"/>
      <c r="BL436" s="380"/>
      <c r="BM436" s="380"/>
      <c r="BN436" s="380"/>
      <c r="BO436" s="380"/>
      <c r="BP436" s="380"/>
      <c r="BQ436" s="380"/>
      <c r="BR436" s="380"/>
    </row>
    <row r="437" spans="1:70" ht="12.75" customHeight="1" x14ac:dyDescent="0.25">
      <c r="A437" s="380"/>
      <c r="B437" s="380"/>
      <c r="C437" s="380"/>
      <c r="D437" s="380"/>
      <c r="E437" s="511"/>
      <c r="F437" s="511"/>
      <c r="G437" s="582"/>
      <c r="H437" s="511"/>
      <c r="I437" s="511"/>
      <c r="J437" s="582"/>
      <c r="K437" s="511"/>
      <c r="L437" s="511"/>
      <c r="M437" s="582"/>
      <c r="N437" s="582"/>
      <c r="O437" s="582"/>
      <c r="P437" s="582"/>
      <c r="Q437" s="511"/>
      <c r="R437" s="511"/>
      <c r="S437" s="511"/>
      <c r="T437" s="639"/>
      <c r="U437" s="511"/>
      <c r="V437" s="511"/>
      <c r="W437" s="511"/>
      <c r="X437" s="511"/>
      <c r="Y437" s="380"/>
      <c r="Z437" s="380"/>
      <c r="AA437" s="380"/>
      <c r="AB437" s="380"/>
      <c r="AC437" s="380"/>
      <c r="AD437" s="671"/>
      <c r="AE437" s="380"/>
      <c r="AF437" s="380"/>
      <c r="AG437" s="380"/>
      <c r="AH437" s="671"/>
      <c r="AI437" s="380"/>
      <c r="AJ437" s="583"/>
      <c r="AK437" s="583"/>
      <c r="AL437" s="511"/>
      <c r="AM437" s="584"/>
      <c r="AN437" s="584"/>
      <c r="AO437" s="584"/>
      <c r="AP437" s="671"/>
      <c r="AQ437" s="584"/>
      <c r="AR437" s="583"/>
      <c r="AS437" s="583"/>
      <c r="AT437" s="585"/>
      <c r="AU437" s="585"/>
      <c r="AV437" s="585"/>
      <c r="AW437" s="585"/>
      <c r="AX437" s="673"/>
      <c r="AY437" s="380"/>
      <c r="AZ437" s="380"/>
      <c r="BA437" s="380"/>
      <c r="BB437" s="380"/>
      <c r="BC437" s="380"/>
      <c r="BD437" s="380"/>
      <c r="BE437" s="380"/>
      <c r="BF437" s="380"/>
      <c r="BG437" s="380"/>
      <c r="BH437" s="380"/>
      <c r="BI437" s="511"/>
      <c r="BJ437" s="380"/>
      <c r="BK437" s="380"/>
      <c r="BL437" s="380"/>
      <c r="BM437" s="380"/>
      <c r="BN437" s="380"/>
      <c r="BO437" s="380"/>
      <c r="BP437" s="380"/>
      <c r="BQ437" s="380"/>
      <c r="BR437" s="380"/>
    </row>
    <row r="438" spans="1:70" ht="12.75" customHeight="1" x14ac:dyDescent="0.25">
      <c r="A438" s="380"/>
      <c r="B438" s="380"/>
      <c r="C438" s="380"/>
      <c r="D438" s="380"/>
      <c r="E438" s="511"/>
      <c r="F438" s="511"/>
      <c r="G438" s="582"/>
      <c r="H438" s="511"/>
      <c r="I438" s="511"/>
      <c r="J438" s="582"/>
      <c r="K438" s="511"/>
      <c r="L438" s="511"/>
      <c r="M438" s="582"/>
      <c r="N438" s="582"/>
      <c r="O438" s="582"/>
      <c r="P438" s="582"/>
      <c r="Q438" s="511"/>
      <c r="R438" s="511"/>
      <c r="S438" s="511"/>
      <c r="T438" s="639"/>
      <c r="U438" s="511"/>
      <c r="V438" s="511"/>
      <c r="W438" s="511"/>
      <c r="X438" s="511"/>
      <c r="Y438" s="380"/>
      <c r="Z438" s="380"/>
      <c r="AA438" s="380"/>
      <c r="AB438" s="380"/>
      <c r="AC438" s="380"/>
      <c r="AD438" s="671"/>
      <c r="AE438" s="380"/>
      <c r="AF438" s="380"/>
      <c r="AG438" s="380"/>
      <c r="AH438" s="671"/>
      <c r="AI438" s="380"/>
      <c r="AJ438" s="583"/>
      <c r="AK438" s="583"/>
      <c r="AL438" s="511"/>
      <c r="AM438" s="584"/>
      <c r="AN438" s="584"/>
      <c r="AO438" s="584"/>
      <c r="AP438" s="671"/>
      <c r="AQ438" s="584"/>
      <c r="AR438" s="583"/>
      <c r="AS438" s="583"/>
      <c r="AT438" s="585"/>
      <c r="AU438" s="585"/>
      <c r="AV438" s="585"/>
      <c r="AW438" s="585"/>
      <c r="AX438" s="673"/>
      <c r="AY438" s="380"/>
      <c r="AZ438" s="380"/>
      <c r="BA438" s="380"/>
      <c r="BB438" s="380"/>
      <c r="BC438" s="380"/>
      <c r="BD438" s="380"/>
      <c r="BE438" s="380"/>
      <c r="BF438" s="380"/>
      <c r="BG438" s="380"/>
      <c r="BH438" s="380"/>
      <c r="BI438" s="511"/>
      <c r="BJ438" s="380"/>
      <c r="BK438" s="380"/>
      <c r="BL438" s="380"/>
      <c r="BM438" s="380"/>
      <c r="BN438" s="380"/>
      <c r="BO438" s="380"/>
      <c r="BP438" s="380"/>
      <c r="BQ438" s="380"/>
      <c r="BR438" s="380"/>
    </row>
    <row r="439" spans="1:70" ht="12.75" customHeight="1" x14ac:dyDescent="0.25">
      <c r="A439" s="380"/>
      <c r="B439" s="380"/>
      <c r="C439" s="380"/>
      <c r="D439" s="380"/>
      <c r="E439" s="511"/>
      <c r="F439" s="511"/>
      <c r="G439" s="582"/>
      <c r="H439" s="511"/>
      <c r="I439" s="511"/>
      <c r="J439" s="582"/>
      <c r="K439" s="511"/>
      <c r="L439" s="511"/>
      <c r="M439" s="582"/>
      <c r="N439" s="582"/>
      <c r="O439" s="582"/>
      <c r="P439" s="582"/>
      <c r="Q439" s="511"/>
      <c r="R439" s="511"/>
      <c r="S439" s="511"/>
      <c r="T439" s="639"/>
      <c r="U439" s="511"/>
      <c r="V439" s="511"/>
      <c r="W439" s="511"/>
      <c r="X439" s="511"/>
      <c r="Y439" s="380"/>
      <c r="Z439" s="380"/>
      <c r="AA439" s="380"/>
      <c r="AB439" s="380"/>
      <c r="AC439" s="380"/>
      <c r="AD439" s="671"/>
      <c r="AE439" s="380"/>
      <c r="AF439" s="380"/>
      <c r="AG439" s="380"/>
      <c r="AH439" s="671"/>
      <c r="AI439" s="380"/>
      <c r="AJ439" s="583"/>
      <c r="AK439" s="583"/>
      <c r="AL439" s="511"/>
      <c r="AM439" s="584"/>
      <c r="AN439" s="584"/>
      <c r="AO439" s="584"/>
      <c r="AP439" s="671"/>
      <c r="AQ439" s="584"/>
      <c r="AR439" s="583"/>
      <c r="AS439" s="583"/>
      <c r="AT439" s="585"/>
      <c r="AU439" s="585"/>
      <c r="AV439" s="585"/>
      <c r="AW439" s="585"/>
      <c r="AX439" s="673"/>
      <c r="AY439" s="380"/>
      <c r="AZ439" s="380"/>
      <c r="BA439" s="380"/>
      <c r="BB439" s="380"/>
      <c r="BC439" s="380"/>
      <c r="BD439" s="380"/>
      <c r="BE439" s="380"/>
      <c r="BF439" s="380"/>
      <c r="BG439" s="380"/>
      <c r="BH439" s="380"/>
      <c r="BI439" s="511"/>
      <c r="BJ439" s="380"/>
      <c r="BK439" s="380"/>
      <c r="BL439" s="380"/>
      <c r="BM439" s="380"/>
      <c r="BN439" s="380"/>
      <c r="BO439" s="380"/>
      <c r="BP439" s="380"/>
      <c r="BQ439" s="380"/>
      <c r="BR439" s="380"/>
    </row>
    <row r="440" spans="1:70" ht="12.75" customHeight="1" x14ac:dyDescent="0.25">
      <c r="A440" s="380"/>
      <c r="B440" s="380"/>
      <c r="C440" s="380"/>
      <c r="D440" s="380"/>
      <c r="E440" s="511"/>
      <c r="F440" s="511"/>
      <c r="G440" s="582"/>
      <c r="H440" s="511"/>
      <c r="I440" s="511"/>
      <c r="J440" s="582"/>
      <c r="K440" s="511"/>
      <c r="L440" s="511"/>
      <c r="M440" s="582"/>
      <c r="N440" s="582"/>
      <c r="O440" s="582"/>
      <c r="P440" s="582"/>
      <c r="Q440" s="511"/>
      <c r="R440" s="511"/>
      <c r="S440" s="511"/>
      <c r="T440" s="639"/>
      <c r="U440" s="511"/>
      <c r="V440" s="511"/>
      <c r="W440" s="511"/>
      <c r="X440" s="511"/>
      <c r="Y440" s="380"/>
      <c r="Z440" s="380"/>
      <c r="AA440" s="380"/>
      <c r="AB440" s="380"/>
      <c r="AC440" s="380"/>
      <c r="AD440" s="671"/>
      <c r="AE440" s="380"/>
      <c r="AF440" s="380"/>
      <c r="AG440" s="380"/>
      <c r="AH440" s="671"/>
      <c r="AI440" s="380"/>
      <c r="AJ440" s="583"/>
      <c r="AK440" s="583"/>
      <c r="AL440" s="511"/>
      <c r="AM440" s="584"/>
      <c r="AN440" s="584"/>
      <c r="AO440" s="584"/>
      <c r="AP440" s="671"/>
      <c r="AQ440" s="584"/>
      <c r="AR440" s="583"/>
      <c r="AS440" s="583"/>
      <c r="AT440" s="585"/>
      <c r="AU440" s="585"/>
      <c r="AV440" s="585"/>
      <c r="AW440" s="585"/>
      <c r="AX440" s="673"/>
      <c r="AY440" s="380"/>
      <c r="AZ440" s="380"/>
      <c r="BA440" s="380"/>
      <c r="BB440" s="380"/>
      <c r="BC440" s="380"/>
      <c r="BD440" s="380"/>
      <c r="BE440" s="380"/>
      <c r="BF440" s="380"/>
      <c r="BG440" s="380"/>
      <c r="BH440" s="380"/>
      <c r="BI440" s="511"/>
      <c r="BJ440" s="380"/>
      <c r="BK440" s="380"/>
      <c r="BL440" s="380"/>
      <c r="BM440" s="380"/>
      <c r="BN440" s="380"/>
      <c r="BO440" s="380"/>
      <c r="BP440" s="380"/>
      <c r="BQ440" s="380"/>
      <c r="BR440" s="380"/>
    </row>
    <row r="441" spans="1:70" ht="12.75" customHeight="1" x14ac:dyDescent="0.25">
      <c r="A441" s="380"/>
      <c r="B441" s="380"/>
      <c r="C441" s="380"/>
      <c r="D441" s="380"/>
      <c r="E441" s="511"/>
      <c r="F441" s="511"/>
      <c r="G441" s="582"/>
      <c r="H441" s="511"/>
      <c r="I441" s="511"/>
      <c r="J441" s="582"/>
      <c r="K441" s="511"/>
      <c r="L441" s="511"/>
      <c r="M441" s="582"/>
      <c r="N441" s="582"/>
      <c r="O441" s="582"/>
      <c r="P441" s="582"/>
      <c r="Q441" s="511"/>
      <c r="R441" s="511"/>
      <c r="S441" s="511"/>
      <c r="T441" s="639"/>
      <c r="U441" s="511"/>
      <c r="V441" s="511"/>
      <c r="W441" s="511"/>
      <c r="X441" s="511"/>
      <c r="Y441" s="380"/>
      <c r="Z441" s="380"/>
      <c r="AA441" s="380"/>
      <c r="AB441" s="380"/>
      <c r="AC441" s="380"/>
      <c r="AD441" s="671"/>
      <c r="AE441" s="380"/>
      <c r="AF441" s="380"/>
      <c r="AG441" s="380"/>
      <c r="AH441" s="671"/>
      <c r="AI441" s="380"/>
      <c r="AJ441" s="583"/>
      <c r="AK441" s="583"/>
      <c r="AL441" s="511"/>
      <c r="AM441" s="584"/>
      <c r="AN441" s="584"/>
      <c r="AO441" s="584"/>
      <c r="AP441" s="671"/>
      <c r="AQ441" s="584"/>
      <c r="AR441" s="583"/>
      <c r="AS441" s="583"/>
      <c r="AT441" s="585"/>
      <c r="AU441" s="585"/>
      <c r="AV441" s="585"/>
      <c r="AW441" s="585"/>
      <c r="AX441" s="673"/>
      <c r="AY441" s="380"/>
      <c r="AZ441" s="380"/>
      <c r="BA441" s="380"/>
      <c r="BB441" s="380"/>
      <c r="BC441" s="380"/>
      <c r="BD441" s="380"/>
      <c r="BE441" s="380"/>
      <c r="BF441" s="380"/>
      <c r="BG441" s="380"/>
      <c r="BH441" s="380"/>
      <c r="BI441" s="511"/>
      <c r="BJ441" s="380"/>
      <c r="BK441" s="380"/>
      <c r="BL441" s="380"/>
      <c r="BM441" s="380"/>
      <c r="BN441" s="380"/>
      <c r="BO441" s="380"/>
      <c r="BP441" s="380"/>
      <c r="BQ441" s="380"/>
      <c r="BR441" s="380"/>
    </row>
    <row r="442" spans="1:70" ht="12.75" customHeight="1" x14ac:dyDescent="0.25">
      <c r="A442" s="380"/>
      <c r="B442" s="380"/>
      <c r="C442" s="380"/>
      <c r="D442" s="380"/>
      <c r="E442" s="511"/>
      <c r="F442" s="511"/>
      <c r="G442" s="582"/>
      <c r="H442" s="511"/>
      <c r="I442" s="511"/>
      <c r="J442" s="582"/>
      <c r="K442" s="511"/>
      <c r="L442" s="511"/>
      <c r="M442" s="582"/>
      <c r="N442" s="582"/>
      <c r="O442" s="582"/>
      <c r="P442" s="582"/>
      <c r="Q442" s="511"/>
      <c r="R442" s="511"/>
      <c r="S442" s="511"/>
      <c r="T442" s="639"/>
      <c r="U442" s="511"/>
      <c r="V442" s="511"/>
      <c r="W442" s="511"/>
      <c r="X442" s="511"/>
      <c r="Y442" s="380"/>
      <c r="Z442" s="380"/>
      <c r="AA442" s="380"/>
      <c r="AB442" s="380"/>
      <c r="AC442" s="380"/>
      <c r="AD442" s="671"/>
      <c r="AE442" s="380"/>
      <c r="AF442" s="380"/>
      <c r="AG442" s="380"/>
      <c r="AH442" s="671"/>
      <c r="AI442" s="380"/>
      <c r="AJ442" s="583"/>
      <c r="AK442" s="583"/>
      <c r="AL442" s="511"/>
      <c r="AM442" s="584"/>
      <c r="AN442" s="584"/>
      <c r="AO442" s="584"/>
      <c r="AP442" s="671"/>
      <c r="AQ442" s="584"/>
      <c r="AR442" s="583"/>
      <c r="AS442" s="583"/>
      <c r="AT442" s="585"/>
      <c r="AU442" s="585"/>
      <c r="AV442" s="585"/>
      <c r="AW442" s="585"/>
      <c r="AX442" s="673"/>
      <c r="AY442" s="380"/>
      <c r="AZ442" s="380"/>
      <c r="BA442" s="380"/>
      <c r="BB442" s="380"/>
      <c r="BC442" s="380"/>
      <c r="BD442" s="380"/>
      <c r="BE442" s="380"/>
      <c r="BF442" s="380"/>
      <c r="BG442" s="380"/>
      <c r="BH442" s="380"/>
      <c r="BI442" s="511"/>
      <c r="BJ442" s="380"/>
      <c r="BK442" s="380"/>
      <c r="BL442" s="380"/>
      <c r="BM442" s="380"/>
      <c r="BN442" s="380"/>
      <c r="BO442" s="380"/>
      <c r="BP442" s="380"/>
      <c r="BQ442" s="380"/>
      <c r="BR442" s="380"/>
    </row>
    <row r="443" spans="1:70" ht="12.75" customHeight="1" x14ac:dyDescent="0.25">
      <c r="A443" s="380"/>
      <c r="B443" s="380"/>
      <c r="C443" s="380"/>
      <c r="D443" s="380"/>
      <c r="E443" s="511"/>
      <c r="F443" s="511"/>
      <c r="G443" s="582"/>
      <c r="H443" s="511"/>
      <c r="I443" s="511"/>
      <c r="J443" s="582"/>
      <c r="K443" s="511"/>
      <c r="L443" s="511"/>
      <c r="M443" s="582"/>
      <c r="N443" s="582"/>
      <c r="O443" s="582"/>
      <c r="P443" s="582"/>
      <c r="Q443" s="511"/>
      <c r="R443" s="511"/>
      <c r="S443" s="511"/>
      <c r="T443" s="639"/>
      <c r="U443" s="511"/>
      <c r="V443" s="511"/>
      <c r="W443" s="511"/>
      <c r="X443" s="511"/>
      <c r="Y443" s="380"/>
      <c r="Z443" s="380"/>
      <c r="AA443" s="380"/>
      <c r="AB443" s="380"/>
      <c r="AC443" s="380"/>
      <c r="AD443" s="671"/>
      <c r="AE443" s="380"/>
      <c r="AF443" s="380"/>
      <c r="AG443" s="380"/>
      <c r="AH443" s="671"/>
      <c r="AI443" s="380"/>
      <c r="AJ443" s="583"/>
      <c r="AK443" s="583"/>
      <c r="AL443" s="511"/>
      <c r="AM443" s="584"/>
      <c r="AN443" s="584"/>
      <c r="AO443" s="584"/>
      <c r="AP443" s="671"/>
      <c r="AQ443" s="584"/>
      <c r="AR443" s="583"/>
      <c r="AS443" s="583"/>
      <c r="AT443" s="585"/>
      <c r="AU443" s="585"/>
      <c r="AV443" s="585"/>
      <c r="AW443" s="585"/>
      <c r="AX443" s="673"/>
      <c r="AY443" s="380"/>
      <c r="AZ443" s="380"/>
      <c r="BA443" s="380"/>
      <c r="BB443" s="380"/>
      <c r="BC443" s="380"/>
      <c r="BD443" s="380"/>
      <c r="BE443" s="380"/>
      <c r="BF443" s="380"/>
      <c r="BG443" s="380"/>
      <c r="BH443" s="380"/>
      <c r="BI443" s="511"/>
      <c r="BJ443" s="380"/>
      <c r="BK443" s="380"/>
      <c r="BL443" s="380"/>
      <c r="BM443" s="380"/>
      <c r="BN443" s="380"/>
      <c r="BO443" s="380"/>
      <c r="BP443" s="380"/>
      <c r="BQ443" s="380"/>
      <c r="BR443" s="380"/>
    </row>
    <row r="444" spans="1:70" ht="12.75" customHeight="1" x14ac:dyDescent="0.25">
      <c r="A444" s="380"/>
      <c r="B444" s="380"/>
      <c r="C444" s="380"/>
      <c r="D444" s="380"/>
      <c r="E444" s="511"/>
      <c r="F444" s="511"/>
      <c r="G444" s="582"/>
      <c r="H444" s="511"/>
      <c r="I444" s="511"/>
      <c r="J444" s="582"/>
      <c r="K444" s="511"/>
      <c r="L444" s="511"/>
      <c r="M444" s="582"/>
      <c r="N444" s="582"/>
      <c r="O444" s="582"/>
      <c r="P444" s="582"/>
      <c r="Q444" s="511"/>
      <c r="R444" s="511"/>
      <c r="S444" s="511"/>
      <c r="T444" s="639"/>
      <c r="U444" s="511"/>
      <c r="V444" s="511"/>
      <c r="W444" s="511"/>
      <c r="X444" s="511"/>
      <c r="Y444" s="380"/>
      <c r="Z444" s="380"/>
      <c r="AA444" s="380"/>
      <c r="AB444" s="380"/>
      <c r="AC444" s="380"/>
      <c r="AD444" s="671"/>
      <c r="AE444" s="380"/>
      <c r="AF444" s="380"/>
      <c r="AG444" s="380"/>
      <c r="AH444" s="671"/>
      <c r="AI444" s="380"/>
      <c r="AJ444" s="583"/>
      <c r="AK444" s="583"/>
      <c r="AL444" s="511"/>
      <c r="AM444" s="584"/>
      <c r="AN444" s="584"/>
      <c r="AO444" s="584"/>
      <c r="AP444" s="671"/>
      <c r="AQ444" s="584"/>
      <c r="AR444" s="583"/>
      <c r="AS444" s="583"/>
      <c r="AT444" s="585"/>
      <c r="AU444" s="585"/>
      <c r="AV444" s="585"/>
      <c r="AW444" s="585"/>
      <c r="AX444" s="673"/>
      <c r="AY444" s="380"/>
      <c r="AZ444" s="380"/>
      <c r="BA444" s="380"/>
      <c r="BB444" s="380"/>
      <c r="BC444" s="380"/>
      <c r="BD444" s="380"/>
      <c r="BE444" s="380"/>
      <c r="BF444" s="380"/>
      <c r="BG444" s="380"/>
      <c r="BH444" s="380"/>
      <c r="BI444" s="511"/>
      <c r="BJ444" s="380"/>
      <c r="BK444" s="380"/>
      <c r="BL444" s="380"/>
      <c r="BM444" s="380"/>
      <c r="BN444" s="380"/>
      <c r="BO444" s="380"/>
      <c r="BP444" s="380"/>
      <c r="BQ444" s="380"/>
      <c r="BR444" s="380"/>
    </row>
    <row r="445" spans="1:70" ht="12.75" customHeight="1" x14ac:dyDescent="0.25">
      <c r="A445" s="380"/>
      <c r="B445" s="380"/>
      <c r="C445" s="380"/>
      <c r="D445" s="380"/>
      <c r="E445" s="511"/>
      <c r="F445" s="511"/>
      <c r="G445" s="582"/>
      <c r="H445" s="511"/>
      <c r="I445" s="511"/>
      <c r="J445" s="582"/>
      <c r="K445" s="511"/>
      <c r="L445" s="511"/>
      <c r="M445" s="582"/>
      <c r="N445" s="582"/>
      <c r="O445" s="582"/>
      <c r="P445" s="582"/>
      <c r="Q445" s="511"/>
      <c r="R445" s="511"/>
      <c r="S445" s="511"/>
      <c r="T445" s="639"/>
      <c r="U445" s="511"/>
      <c r="V445" s="511"/>
      <c r="W445" s="511"/>
      <c r="X445" s="511"/>
      <c r="Y445" s="380"/>
      <c r="Z445" s="380"/>
      <c r="AA445" s="380"/>
      <c r="AB445" s="380"/>
      <c r="AC445" s="380"/>
      <c r="AD445" s="671"/>
      <c r="AE445" s="380"/>
      <c r="AF445" s="380"/>
      <c r="AG445" s="380"/>
      <c r="AH445" s="671"/>
      <c r="AI445" s="380"/>
      <c r="AJ445" s="583"/>
      <c r="AK445" s="583"/>
      <c r="AL445" s="511"/>
      <c r="AM445" s="584"/>
      <c r="AN445" s="584"/>
      <c r="AO445" s="584"/>
      <c r="AP445" s="671"/>
      <c r="AQ445" s="584"/>
      <c r="AR445" s="583"/>
      <c r="AS445" s="583"/>
      <c r="AT445" s="585"/>
      <c r="AU445" s="585"/>
      <c r="AV445" s="585"/>
      <c r="AW445" s="585"/>
      <c r="AX445" s="673"/>
      <c r="AY445" s="380"/>
      <c r="AZ445" s="380"/>
      <c r="BA445" s="380"/>
      <c r="BB445" s="380"/>
      <c r="BC445" s="380"/>
      <c r="BD445" s="380"/>
      <c r="BE445" s="380"/>
      <c r="BF445" s="380"/>
      <c r="BG445" s="380"/>
      <c r="BH445" s="380"/>
      <c r="BI445" s="511"/>
      <c r="BJ445" s="380"/>
      <c r="BK445" s="380"/>
      <c r="BL445" s="380"/>
      <c r="BM445" s="380"/>
      <c r="BN445" s="380"/>
      <c r="BO445" s="380"/>
      <c r="BP445" s="380"/>
      <c r="BQ445" s="380"/>
      <c r="BR445" s="380"/>
    </row>
    <row r="446" spans="1:70" ht="12.75" customHeight="1" x14ac:dyDescent="0.25">
      <c r="A446" s="380"/>
      <c r="B446" s="380"/>
      <c r="C446" s="380"/>
      <c r="D446" s="380"/>
      <c r="E446" s="511"/>
      <c r="F446" s="511"/>
      <c r="G446" s="582"/>
      <c r="H446" s="511"/>
      <c r="I446" s="511"/>
      <c r="J446" s="582"/>
      <c r="K446" s="511"/>
      <c r="L446" s="511"/>
      <c r="M446" s="582"/>
      <c r="N446" s="582"/>
      <c r="O446" s="582"/>
      <c r="P446" s="582"/>
      <c r="Q446" s="511"/>
      <c r="R446" s="511"/>
      <c r="S446" s="511"/>
      <c r="T446" s="639"/>
      <c r="U446" s="511"/>
      <c r="V446" s="511"/>
      <c r="W446" s="511"/>
      <c r="X446" s="511"/>
      <c r="Y446" s="380"/>
      <c r="Z446" s="380"/>
      <c r="AA446" s="380"/>
      <c r="AB446" s="380"/>
      <c r="AC446" s="380"/>
      <c r="AD446" s="671"/>
      <c r="AE446" s="380"/>
      <c r="AF446" s="380"/>
      <c r="AG446" s="380"/>
      <c r="AH446" s="671"/>
      <c r="AI446" s="380"/>
      <c r="AJ446" s="583"/>
      <c r="AK446" s="583"/>
      <c r="AL446" s="511"/>
      <c r="AM446" s="584"/>
      <c r="AN446" s="584"/>
      <c r="AO446" s="584"/>
      <c r="AP446" s="671"/>
      <c r="AQ446" s="584"/>
      <c r="AR446" s="583"/>
      <c r="AS446" s="583"/>
      <c r="AT446" s="585"/>
      <c r="AU446" s="585"/>
      <c r="AV446" s="585"/>
      <c r="AW446" s="585"/>
      <c r="AX446" s="673"/>
      <c r="AY446" s="380"/>
      <c r="AZ446" s="380"/>
      <c r="BA446" s="380"/>
      <c r="BB446" s="380"/>
      <c r="BC446" s="380"/>
      <c r="BD446" s="380"/>
      <c r="BE446" s="380"/>
      <c r="BF446" s="380"/>
      <c r="BG446" s="380"/>
      <c r="BH446" s="380"/>
      <c r="BI446" s="511"/>
      <c r="BJ446" s="380"/>
      <c r="BK446" s="380"/>
      <c r="BL446" s="380"/>
      <c r="BM446" s="380"/>
      <c r="BN446" s="380"/>
      <c r="BO446" s="380"/>
      <c r="BP446" s="380"/>
      <c r="BQ446" s="380"/>
      <c r="BR446" s="380"/>
    </row>
    <row r="447" spans="1:70" ht="12.75" customHeight="1" x14ac:dyDescent="0.25">
      <c r="A447" s="380"/>
      <c r="B447" s="380"/>
      <c r="C447" s="380"/>
      <c r="D447" s="380"/>
      <c r="E447" s="511"/>
      <c r="F447" s="511"/>
      <c r="G447" s="582"/>
      <c r="H447" s="511"/>
      <c r="I447" s="511"/>
      <c r="J447" s="582"/>
      <c r="K447" s="511"/>
      <c r="L447" s="511"/>
      <c r="M447" s="582"/>
      <c r="N447" s="582"/>
      <c r="O447" s="582"/>
      <c r="P447" s="582"/>
      <c r="Q447" s="511"/>
      <c r="R447" s="511"/>
      <c r="S447" s="511"/>
      <c r="T447" s="639"/>
      <c r="U447" s="511"/>
      <c r="V447" s="511"/>
      <c r="W447" s="511"/>
      <c r="X447" s="511"/>
      <c r="Y447" s="380"/>
      <c r="Z447" s="380"/>
      <c r="AA447" s="380"/>
      <c r="AB447" s="380"/>
      <c r="AC447" s="380"/>
      <c r="AD447" s="671"/>
      <c r="AE447" s="380"/>
      <c r="AF447" s="380"/>
      <c r="AG447" s="380"/>
      <c r="AH447" s="671"/>
      <c r="AI447" s="380"/>
      <c r="AJ447" s="583"/>
      <c r="AK447" s="583"/>
      <c r="AL447" s="511"/>
      <c r="AM447" s="584"/>
      <c r="AN447" s="584"/>
      <c r="AO447" s="584"/>
      <c r="AP447" s="671"/>
      <c r="AQ447" s="584"/>
      <c r="AR447" s="583"/>
      <c r="AS447" s="583"/>
      <c r="AT447" s="585"/>
      <c r="AU447" s="585"/>
      <c r="AV447" s="585"/>
      <c r="AW447" s="585"/>
      <c r="AX447" s="673"/>
      <c r="AY447" s="380"/>
      <c r="AZ447" s="380"/>
      <c r="BA447" s="380"/>
      <c r="BB447" s="380"/>
      <c r="BC447" s="380"/>
      <c r="BD447" s="380"/>
      <c r="BE447" s="380"/>
      <c r="BF447" s="380"/>
      <c r="BG447" s="380"/>
      <c r="BH447" s="380"/>
      <c r="BI447" s="511"/>
      <c r="BJ447" s="380"/>
      <c r="BK447" s="380"/>
      <c r="BL447" s="380"/>
      <c r="BM447" s="380"/>
      <c r="BN447" s="380"/>
      <c r="BO447" s="380"/>
      <c r="BP447" s="380"/>
      <c r="BQ447" s="380"/>
      <c r="BR447" s="380"/>
    </row>
    <row r="448" spans="1:70" ht="12.75" customHeight="1" x14ac:dyDescent="0.25">
      <c r="A448" s="380"/>
      <c r="B448" s="380"/>
      <c r="C448" s="380"/>
      <c r="D448" s="380"/>
      <c r="E448" s="511"/>
      <c r="F448" s="511"/>
      <c r="G448" s="582"/>
      <c r="H448" s="511"/>
      <c r="I448" s="511"/>
      <c r="J448" s="582"/>
      <c r="K448" s="511"/>
      <c r="L448" s="511"/>
      <c r="M448" s="582"/>
      <c r="N448" s="582"/>
      <c r="O448" s="582"/>
      <c r="P448" s="582"/>
      <c r="Q448" s="511"/>
      <c r="R448" s="511"/>
      <c r="S448" s="511"/>
      <c r="T448" s="639"/>
      <c r="U448" s="511"/>
      <c r="V448" s="511"/>
      <c r="W448" s="511"/>
      <c r="X448" s="511"/>
      <c r="Y448" s="380"/>
      <c r="Z448" s="380"/>
      <c r="AA448" s="380"/>
      <c r="AB448" s="380"/>
      <c r="AC448" s="380"/>
      <c r="AD448" s="671"/>
      <c r="AE448" s="380"/>
      <c r="AF448" s="380"/>
      <c r="AG448" s="380"/>
      <c r="AH448" s="671"/>
      <c r="AI448" s="380"/>
      <c r="AJ448" s="583"/>
      <c r="AK448" s="583"/>
      <c r="AL448" s="511"/>
      <c r="AM448" s="584"/>
      <c r="AN448" s="584"/>
      <c r="AO448" s="584"/>
      <c r="AP448" s="671"/>
      <c r="AQ448" s="584"/>
      <c r="AR448" s="583"/>
      <c r="AS448" s="583"/>
      <c r="AT448" s="585"/>
      <c r="AU448" s="585"/>
      <c r="AV448" s="585"/>
      <c r="AW448" s="585"/>
      <c r="AX448" s="673"/>
      <c r="AY448" s="380"/>
      <c r="AZ448" s="380"/>
      <c r="BA448" s="380"/>
      <c r="BB448" s="380"/>
      <c r="BC448" s="380"/>
      <c r="BD448" s="380"/>
      <c r="BE448" s="380"/>
      <c r="BF448" s="380"/>
      <c r="BG448" s="380"/>
      <c r="BH448" s="380"/>
      <c r="BI448" s="511"/>
      <c r="BJ448" s="380"/>
      <c r="BK448" s="380"/>
      <c r="BL448" s="380"/>
      <c r="BM448" s="380"/>
      <c r="BN448" s="380"/>
      <c r="BO448" s="380"/>
      <c r="BP448" s="380"/>
      <c r="BQ448" s="380"/>
      <c r="BR448" s="380"/>
    </row>
    <row r="449" spans="1:70" ht="12.75" customHeight="1" x14ac:dyDescent="0.25">
      <c r="A449" s="380"/>
      <c r="B449" s="380"/>
      <c r="C449" s="380"/>
      <c r="D449" s="380"/>
      <c r="E449" s="511"/>
      <c r="F449" s="511"/>
      <c r="G449" s="582"/>
      <c r="H449" s="511"/>
      <c r="I449" s="511"/>
      <c r="J449" s="582"/>
      <c r="K449" s="511"/>
      <c r="L449" s="511"/>
      <c r="M449" s="582"/>
      <c r="N449" s="582"/>
      <c r="O449" s="582"/>
      <c r="P449" s="582"/>
      <c r="Q449" s="511"/>
      <c r="R449" s="511"/>
      <c r="S449" s="511"/>
      <c r="T449" s="639"/>
      <c r="U449" s="511"/>
      <c r="V449" s="511"/>
      <c r="W449" s="511"/>
      <c r="X449" s="511"/>
      <c r="Y449" s="380"/>
      <c r="Z449" s="380"/>
      <c r="AA449" s="380"/>
      <c r="AB449" s="380"/>
      <c r="AC449" s="380"/>
      <c r="AD449" s="671"/>
      <c r="AE449" s="380"/>
      <c r="AF449" s="380"/>
      <c r="AG449" s="380"/>
      <c r="AH449" s="671"/>
      <c r="AI449" s="380"/>
      <c r="AJ449" s="583"/>
      <c r="AK449" s="583"/>
      <c r="AL449" s="511"/>
      <c r="AM449" s="584"/>
      <c r="AN449" s="584"/>
      <c r="AO449" s="584"/>
      <c r="AP449" s="671"/>
      <c r="AQ449" s="584"/>
      <c r="AR449" s="583"/>
      <c r="AS449" s="583"/>
      <c r="AT449" s="585"/>
      <c r="AU449" s="585"/>
      <c r="AV449" s="585"/>
      <c r="AW449" s="585"/>
      <c r="AX449" s="673"/>
      <c r="AY449" s="380"/>
      <c r="AZ449" s="380"/>
      <c r="BA449" s="380"/>
      <c r="BB449" s="380"/>
      <c r="BC449" s="380"/>
      <c r="BD449" s="380"/>
      <c r="BE449" s="380"/>
      <c r="BF449" s="380"/>
      <c r="BG449" s="380"/>
      <c r="BH449" s="380"/>
      <c r="BI449" s="511"/>
      <c r="BJ449" s="380"/>
      <c r="BK449" s="380"/>
      <c r="BL449" s="380"/>
      <c r="BM449" s="380"/>
      <c r="BN449" s="380"/>
      <c r="BO449" s="380"/>
      <c r="BP449" s="380"/>
      <c r="BQ449" s="380"/>
      <c r="BR449" s="380"/>
    </row>
    <row r="450" spans="1:70" ht="12.75" customHeight="1" x14ac:dyDescent="0.25">
      <c r="A450" s="380"/>
      <c r="B450" s="380"/>
      <c r="C450" s="380"/>
      <c r="D450" s="380"/>
      <c r="E450" s="511"/>
      <c r="F450" s="511"/>
      <c r="G450" s="582"/>
      <c r="H450" s="511"/>
      <c r="I450" s="511"/>
      <c r="J450" s="582"/>
      <c r="K450" s="511"/>
      <c r="L450" s="511"/>
      <c r="M450" s="582"/>
      <c r="N450" s="582"/>
      <c r="O450" s="582"/>
      <c r="P450" s="582"/>
      <c r="Q450" s="511"/>
      <c r="R450" s="511"/>
      <c r="S450" s="511"/>
      <c r="T450" s="639"/>
      <c r="U450" s="511"/>
      <c r="V450" s="511"/>
      <c r="W450" s="511"/>
      <c r="X450" s="511"/>
      <c r="Y450" s="380"/>
      <c r="Z450" s="380"/>
      <c r="AA450" s="380"/>
      <c r="AB450" s="380"/>
      <c r="AC450" s="380"/>
      <c r="AD450" s="671"/>
      <c r="AE450" s="380"/>
      <c r="AF450" s="380"/>
      <c r="AG450" s="380"/>
      <c r="AH450" s="671"/>
      <c r="AI450" s="380"/>
      <c r="AJ450" s="583"/>
      <c r="AK450" s="583"/>
      <c r="AL450" s="511"/>
      <c r="AM450" s="584"/>
      <c r="AN450" s="584"/>
      <c r="AO450" s="584"/>
      <c r="AP450" s="671"/>
      <c r="AQ450" s="584"/>
      <c r="AR450" s="583"/>
      <c r="AS450" s="583"/>
      <c r="AT450" s="585"/>
      <c r="AU450" s="585"/>
      <c r="AV450" s="585"/>
      <c r="AW450" s="585"/>
      <c r="AX450" s="673"/>
      <c r="AY450" s="380"/>
      <c r="AZ450" s="380"/>
      <c r="BA450" s="380"/>
      <c r="BB450" s="380"/>
      <c r="BC450" s="380"/>
      <c r="BD450" s="380"/>
      <c r="BE450" s="380"/>
      <c r="BF450" s="380"/>
      <c r="BG450" s="380"/>
      <c r="BH450" s="380"/>
      <c r="BI450" s="511"/>
      <c r="BJ450" s="380"/>
      <c r="BK450" s="380"/>
      <c r="BL450" s="380"/>
      <c r="BM450" s="380"/>
      <c r="BN450" s="380"/>
      <c r="BO450" s="380"/>
      <c r="BP450" s="380"/>
      <c r="BQ450" s="380"/>
      <c r="BR450" s="380"/>
    </row>
    <row r="451" spans="1:70" ht="12.75" customHeight="1" x14ac:dyDescent="0.25">
      <c r="A451" s="380"/>
      <c r="B451" s="380"/>
      <c r="C451" s="380"/>
      <c r="D451" s="380"/>
      <c r="E451" s="511"/>
      <c r="F451" s="511"/>
      <c r="G451" s="582"/>
      <c r="H451" s="511"/>
      <c r="I451" s="511"/>
      <c r="J451" s="582"/>
      <c r="K451" s="511"/>
      <c r="L451" s="511"/>
      <c r="M451" s="582"/>
      <c r="N451" s="582"/>
      <c r="O451" s="582"/>
      <c r="P451" s="582"/>
      <c r="Q451" s="511"/>
      <c r="R451" s="511"/>
      <c r="S451" s="511"/>
      <c r="T451" s="639"/>
      <c r="U451" s="511"/>
      <c r="V451" s="511"/>
      <c r="W451" s="511"/>
      <c r="X451" s="511"/>
      <c r="Y451" s="380"/>
      <c r="Z451" s="380"/>
      <c r="AA451" s="380"/>
      <c r="AB451" s="380"/>
      <c r="AC451" s="380"/>
      <c r="AD451" s="671"/>
      <c r="AE451" s="380"/>
      <c r="AF451" s="380"/>
      <c r="AG451" s="380"/>
      <c r="AH451" s="671"/>
      <c r="AI451" s="380"/>
      <c r="AJ451" s="583"/>
      <c r="AK451" s="583"/>
      <c r="AL451" s="511"/>
      <c r="AM451" s="584"/>
      <c r="AN451" s="584"/>
      <c r="AO451" s="584"/>
      <c r="AP451" s="671"/>
      <c r="AQ451" s="584"/>
      <c r="AR451" s="583"/>
      <c r="AS451" s="583"/>
      <c r="AT451" s="585"/>
      <c r="AU451" s="585"/>
      <c r="AV451" s="585"/>
      <c r="AW451" s="585"/>
      <c r="AX451" s="673"/>
      <c r="AY451" s="380"/>
      <c r="AZ451" s="380"/>
      <c r="BA451" s="380"/>
      <c r="BB451" s="380"/>
      <c r="BC451" s="380"/>
      <c r="BD451" s="380"/>
      <c r="BE451" s="380"/>
      <c r="BF451" s="380"/>
      <c r="BG451" s="380"/>
      <c r="BH451" s="380"/>
      <c r="BI451" s="511"/>
      <c r="BJ451" s="380"/>
      <c r="BK451" s="380"/>
      <c r="BL451" s="380"/>
      <c r="BM451" s="380"/>
      <c r="BN451" s="380"/>
      <c r="BO451" s="380"/>
      <c r="BP451" s="380"/>
      <c r="BQ451" s="380"/>
      <c r="BR451" s="380"/>
    </row>
    <row r="452" spans="1:70" ht="12.75" customHeight="1" x14ac:dyDescent="0.25">
      <c r="A452" s="380"/>
      <c r="B452" s="380"/>
      <c r="C452" s="380"/>
      <c r="D452" s="380"/>
      <c r="E452" s="511"/>
      <c r="F452" s="511"/>
      <c r="G452" s="582"/>
      <c r="H452" s="511"/>
      <c r="I452" s="511"/>
      <c r="J452" s="582"/>
      <c r="K452" s="511"/>
      <c r="L452" s="511"/>
      <c r="M452" s="582"/>
      <c r="N452" s="582"/>
      <c r="O452" s="582"/>
      <c r="P452" s="582"/>
      <c r="Q452" s="511"/>
      <c r="R452" s="511"/>
      <c r="S452" s="511"/>
      <c r="T452" s="639"/>
      <c r="U452" s="511"/>
      <c r="V452" s="511"/>
      <c r="W452" s="511"/>
      <c r="X452" s="511"/>
      <c r="Y452" s="380"/>
      <c r="Z452" s="380"/>
      <c r="AA452" s="380"/>
      <c r="AB452" s="380"/>
      <c r="AC452" s="380"/>
      <c r="AD452" s="671"/>
      <c r="AE452" s="380"/>
      <c r="AF452" s="380"/>
      <c r="AG452" s="380"/>
      <c r="AH452" s="671"/>
      <c r="AI452" s="380"/>
      <c r="AJ452" s="583"/>
      <c r="AK452" s="583"/>
      <c r="AL452" s="511"/>
      <c r="AM452" s="584"/>
      <c r="AN452" s="584"/>
      <c r="AO452" s="584"/>
      <c r="AP452" s="671"/>
      <c r="AQ452" s="584"/>
      <c r="AR452" s="583"/>
      <c r="AS452" s="583"/>
      <c r="AT452" s="585"/>
      <c r="AU452" s="585"/>
      <c r="AV452" s="585"/>
      <c r="AW452" s="585"/>
      <c r="AX452" s="673"/>
      <c r="AY452" s="380"/>
      <c r="AZ452" s="380"/>
      <c r="BA452" s="380"/>
      <c r="BB452" s="380"/>
      <c r="BC452" s="380"/>
      <c r="BD452" s="380"/>
      <c r="BE452" s="380"/>
      <c r="BF452" s="380"/>
      <c r="BG452" s="380"/>
      <c r="BH452" s="380"/>
      <c r="BI452" s="511"/>
      <c r="BJ452" s="380"/>
      <c r="BK452" s="380"/>
      <c r="BL452" s="380"/>
      <c r="BM452" s="380"/>
      <c r="BN452" s="380"/>
      <c r="BO452" s="380"/>
      <c r="BP452" s="380"/>
      <c r="BQ452" s="380"/>
      <c r="BR452" s="380"/>
    </row>
    <row r="453" spans="1:70" ht="12.75" customHeight="1" x14ac:dyDescent="0.25">
      <c r="A453" s="380"/>
      <c r="B453" s="380"/>
      <c r="C453" s="380"/>
      <c r="D453" s="380"/>
      <c r="E453" s="511"/>
      <c r="F453" s="511"/>
      <c r="G453" s="582"/>
      <c r="H453" s="511"/>
      <c r="I453" s="511"/>
      <c r="J453" s="582"/>
      <c r="K453" s="511"/>
      <c r="L453" s="511"/>
      <c r="M453" s="582"/>
      <c r="N453" s="582"/>
      <c r="O453" s="582"/>
      <c r="P453" s="582"/>
      <c r="Q453" s="511"/>
      <c r="R453" s="511"/>
      <c r="S453" s="511"/>
      <c r="T453" s="639"/>
      <c r="U453" s="511"/>
      <c r="V453" s="511"/>
      <c r="W453" s="511"/>
      <c r="X453" s="511"/>
      <c r="Y453" s="380"/>
      <c r="Z453" s="380"/>
      <c r="AA453" s="380"/>
      <c r="AB453" s="380"/>
      <c r="AC453" s="380"/>
      <c r="AD453" s="671"/>
      <c r="AE453" s="380"/>
      <c r="AF453" s="380"/>
      <c r="AG453" s="380"/>
      <c r="AH453" s="671"/>
      <c r="AI453" s="380"/>
      <c r="AJ453" s="583"/>
      <c r="AK453" s="583"/>
      <c r="AL453" s="511"/>
      <c r="AM453" s="584"/>
      <c r="AN453" s="584"/>
      <c r="AO453" s="584"/>
      <c r="AP453" s="671"/>
      <c r="AQ453" s="584"/>
      <c r="AR453" s="583"/>
      <c r="AS453" s="583"/>
      <c r="AT453" s="585"/>
      <c r="AU453" s="585"/>
      <c r="AV453" s="585"/>
      <c r="AW453" s="585"/>
      <c r="AX453" s="673"/>
      <c r="AY453" s="380"/>
      <c r="AZ453" s="380"/>
      <c r="BA453" s="380"/>
      <c r="BB453" s="380"/>
      <c r="BC453" s="380"/>
      <c r="BD453" s="380"/>
      <c r="BE453" s="380"/>
      <c r="BF453" s="380"/>
      <c r="BG453" s="380"/>
      <c r="BH453" s="380"/>
      <c r="BI453" s="511"/>
      <c r="BJ453" s="380"/>
      <c r="BK453" s="380"/>
      <c r="BL453" s="380"/>
      <c r="BM453" s="380"/>
      <c r="BN453" s="380"/>
      <c r="BO453" s="380"/>
      <c r="BP453" s="380"/>
      <c r="BQ453" s="380"/>
      <c r="BR453" s="380"/>
    </row>
    <row r="454" spans="1:70" ht="12.75" customHeight="1" x14ac:dyDescent="0.25">
      <c r="A454" s="380"/>
      <c r="B454" s="380"/>
      <c r="C454" s="380"/>
      <c r="D454" s="380"/>
      <c r="E454" s="511"/>
      <c r="F454" s="511"/>
      <c r="G454" s="582"/>
      <c r="H454" s="511"/>
      <c r="I454" s="511"/>
      <c r="J454" s="582"/>
      <c r="K454" s="511"/>
      <c r="L454" s="511"/>
      <c r="M454" s="582"/>
      <c r="N454" s="582"/>
      <c r="O454" s="582"/>
      <c r="P454" s="582"/>
      <c r="Q454" s="511"/>
      <c r="R454" s="511"/>
      <c r="S454" s="511"/>
      <c r="T454" s="639"/>
      <c r="U454" s="511"/>
      <c r="V454" s="511"/>
      <c r="W454" s="511"/>
      <c r="X454" s="511"/>
      <c r="Y454" s="380"/>
      <c r="Z454" s="380"/>
      <c r="AA454" s="380"/>
      <c r="AB454" s="380"/>
      <c r="AC454" s="380"/>
      <c r="AD454" s="671"/>
      <c r="AE454" s="380"/>
      <c r="AF454" s="380"/>
      <c r="AG454" s="380"/>
      <c r="AH454" s="671"/>
      <c r="AI454" s="380"/>
      <c r="AJ454" s="583"/>
      <c r="AK454" s="583"/>
      <c r="AL454" s="511"/>
      <c r="AM454" s="584"/>
      <c r="AN454" s="584"/>
      <c r="AO454" s="584"/>
      <c r="AP454" s="671"/>
      <c r="AQ454" s="584"/>
      <c r="AR454" s="583"/>
      <c r="AS454" s="583"/>
      <c r="AT454" s="585"/>
      <c r="AU454" s="585"/>
      <c r="AV454" s="585"/>
      <c r="AW454" s="585"/>
      <c r="AX454" s="673"/>
      <c r="AY454" s="380"/>
      <c r="AZ454" s="380"/>
      <c r="BA454" s="380"/>
      <c r="BB454" s="380"/>
      <c r="BC454" s="380"/>
      <c r="BD454" s="380"/>
      <c r="BE454" s="380"/>
      <c r="BF454" s="380"/>
      <c r="BG454" s="380"/>
      <c r="BH454" s="380"/>
      <c r="BI454" s="511"/>
      <c r="BJ454" s="380"/>
      <c r="BK454" s="380"/>
      <c r="BL454" s="380"/>
      <c r="BM454" s="380"/>
      <c r="BN454" s="380"/>
      <c r="BO454" s="380"/>
      <c r="BP454" s="380"/>
      <c r="BQ454" s="380"/>
      <c r="BR454" s="380"/>
    </row>
    <row r="455" spans="1:70" ht="12.75" customHeight="1" x14ac:dyDescent="0.25">
      <c r="A455" s="380"/>
      <c r="B455" s="380"/>
      <c r="C455" s="380"/>
      <c r="D455" s="380"/>
      <c r="E455" s="511"/>
      <c r="F455" s="511"/>
      <c r="G455" s="582"/>
      <c r="H455" s="511"/>
      <c r="I455" s="511"/>
      <c r="J455" s="582"/>
      <c r="K455" s="511"/>
      <c r="L455" s="511"/>
      <c r="M455" s="582"/>
      <c r="N455" s="582"/>
      <c r="O455" s="582"/>
      <c r="P455" s="582"/>
      <c r="Q455" s="511"/>
      <c r="R455" s="511"/>
      <c r="S455" s="511"/>
      <c r="T455" s="639"/>
      <c r="U455" s="511"/>
      <c r="V455" s="511"/>
      <c r="W455" s="511"/>
      <c r="X455" s="511"/>
      <c r="Y455" s="380"/>
      <c r="Z455" s="380"/>
      <c r="AA455" s="380"/>
      <c r="AB455" s="380"/>
      <c r="AC455" s="380"/>
      <c r="AD455" s="671"/>
      <c r="AE455" s="380"/>
      <c r="AF455" s="380"/>
      <c r="AG455" s="380"/>
      <c r="AH455" s="671"/>
      <c r="AI455" s="380"/>
      <c r="AJ455" s="583"/>
      <c r="AK455" s="583"/>
      <c r="AL455" s="511"/>
      <c r="AM455" s="584"/>
      <c r="AN455" s="584"/>
      <c r="AO455" s="584"/>
      <c r="AP455" s="671"/>
      <c r="AQ455" s="584"/>
      <c r="AR455" s="583"/>
      <c r="AS455" s="583"/>
      <c r="AT455" s="585"/>
      <c r="AU455" s="585"/>
      <c r="AV455" s="585"/>
      <c r="AW455" s="585"/>
      <c r="AX455" s="673"/>
      <c r="AY455" s="380"/>
      <c r="AZ455" s="380"/>
      <c r="BA455" s="380"/>
      <c r="BB455" s="380"/>
      <c r="BC455" s="380"/>
      <c r="BD455" s="380"/>
      <c r="BE455" s="380"/>
      <c r="BF455" s="380"/>
      <c r="BG455" s="380"/>
      <c r="BH455" s="380"/>
      <c r="BI455" s="511"/>
      <c r="BJ455" s="380"/>
      <c r="BK455" s="380"/>
      <c r="BL455" s="380"/>
      <c r="BM455" s="380"/>
      <c r="BN455" s="380"/>
      <c r="BO455" s="380"/>
      <c r="BP455" s="380"/>
      <c r="BQ455" s="380"/>
      <c r="BR455" s="380"/>
    </row>
    <row r="456" spans="1:70" ht="12.75" customHeight="1" x14ac:dyDescent="0.25">
      <c r="A456" s="380"/>
      <c r="B456" s="380"/>
      <c r="C456" s="380"/>
      <c r="D456" s="380"/>
      <c r="E456" s="511"/>
      <c r="F456" s="511"/>
      <c r="G456" s="582"/>
      <c r="H456" s="511"/>
      <c r="I456" s="511"/>
      <c r="J456" s="582"/>
      <c r="K456" s="511"/>
      <c r="L456" s="511"/>
      <c r="M456" s="582"/>
      <c r="N456" s="582"/>
      <c r="O456" s="582"/>
      <c r="P456" s="582"/>
      <c r="Q456" s="511"/>
      <c r="R456" s="511"/>
      <c r="S456" s="511"/>
      <c r="T456" s="639"/>
      <c r="U456" s="511"/>
      <c r="V456" s="511"/>
      <c r="W456" s="511"/>
      <c r="X456" s="511"/>
      <c r="Y456" s="380"/>
      <c r="Z456" s="380"/>
      <c r="AA456" s="380"/>
      <c r="AB456" s="380"/>
      <c r="AC456" s="380"/>
      <c r="AD456" s="671"/>
      <c r="AE456" s="380"/>
      <c r="AF456" s="380"/>
      <c r="AG456" s="380"/>
      <c r="AH456" s="671"/>
      <c r="AI456" s="380"/>
      <c r="AJ456" s="583"/>
      <c r="AK456" s="583"/>
      <c r="AL456" s="511"/>
      <c r="AM456" s="584"/>
      <c r="AN456" s="584"/>
      <c r="AO456" s="584"/>
      <c r="AP456" s="671"/>
      <c r="AQ456" s="584"/>
      <c r="AR456" s="583"/>
      <c r="AS456" s="583"/>
      <c r="AT456" s="585"/>
      <c r="AU456" s="585"/>
      <c r="AV456" s="585"/>
      <c r="AW456" s="585"/>
      <c r="AX456" s="673"/>
      <c r="AY456" s="380"/>
      <c r="AZ456" s="380"/>
      <c r="BA456" s="380"/>
      <c r="BB456" s="380"/>
      <c r="BC456" s="380"/>
      <c r="BD456" s="380"/>
      <c r="BE456" s="380"/>
      <c r="BF456" s="380"/>
      <c r="BG456" s="380"/>
      <c r="BH456" s="380"/>
      <c r="BI456" s="511"/>
      <c r="BJ456" s="380"/>
      <c r="BK456" s="380"/>
      <c r="BL456" s="380"/>
      <c r="BM456" s="380"/>
      <c r="BN456" s="380"/>
      <c r="BO456" s="380"/>
      <c r="BP456" s="380"/>
      <c r="BQ456" s="380"/>
      <c r="BR456" s="380"/>
    </row>
    <row r="457" spans="1:70" ht="12.75" customHeight="1" x14ac:dyDescent="0.25">
      <c r="A457" s="380"/>
      <c r="B457" s="380"/>
      <c r="C457" s="380"/>
      <c r="D457" s="380"/>
      <c r="E457" s="511"/>
      <c r="F457" s="511"/>
      <c r="G457" s="582"/>
      <c r="H457" s="511"/>
      <c r="I457" s="511"/>
      <c r="J457" s="582"/>
      <c r="K457" s="511"/>
      <c r="L457" s="511"/>
      <c r="M457" s="582"/>
      <c r="N457" s="582"/>
      <c r="O457" s="582"/>
      <c r="P457" s="582"/>
      <c r="Q457" s="511"/>
      <c r="R457" s="511"/>
      <c r="S457" s="511"/>
      <c r="T457" s="639"/>
      <c r="U457" s="511"/>
      <c r="V457" s="511"/>
      <c r="W457" s="511"/>
      <c r="X457" s="511"/>
      <c r="Y457" s="380"/>
      <c r="Z457" s="380"/>
      <c r="AA457" s="380"/>
      <c r="AB457" s="380"/>
      <c r="AC457" s="380"/>
      <c r="AD457" s="671"/>
      <c r="AE457" s="380"/>
      <c r="AF457" s="380"/>
      <c r="AG457" s="380"/>
      <c r="AH457" s="671"/>
      <c r="AI457" s="380"/>
      <c r="AJ457" s="583"/>
      <c r="AK457" s="583"/>
      <c r="AL457" s="511"/>
      <c r="AM457" s="584"/>
      <c r="AN457" s="584"/>
      <c r="AO457" s="584"/>
      <c r="AP457" s="671"/>
      <c r="AQ457" s="584"/>
      <c r="AR457" s="583"/>
      <c r="AS457" s="583"/>
      <c r="AT457" s="585"/>
      <c r="AU457" s="585"/>
      <c r="AV457" s="585"/>
      <c r="AW457" s="585"/>
      <c r="AX457" s="673"/>
      <c r="AY457" s="380"/>
      <c r="AZ457" s="380"/>
      <c r="BA457" s="380"/>
      <c r="BB457" s="380"/>
      <c r="BC457" s="380"/>
      <c r="BD457" s="380"/>
      <c r="BE457" s="380"/>
      <c r="BF457" s="380"/>
      <c r="BG457" s="380"/>
      <c r="BH457" s="380"/>
      <c r="BI457" s="511"/>
      <c r="BJ457" s="380"/>
      <c r="BK457" s="380"/>
      <c r="BL457" s="380"/>
      <c r="BM457" s="380"/>
      <c r="BN457" s="380"/>
      <c r="BO457" s="380"/>
      <c r="BP457" s="380"/>
      <c r="BQ457" s="380"/>
      <c r="BR457" s="380"/>
    </row>
    <row r="458" spans="1:70" ht="12.75" customHeight="1" x14ac:dyDescent="0.25">
      <c r="A458" s="380"/>
      <c r="B458" s="380"/>
      <c r="C458" s="380"/>
      <c r="D458" s="380"/>
      <c r="E458" s="511"/>
      <c r="F458" s="511"/>
      <c r="G458" s="582"/>
      <c r="H458" s="511"/>
      <c r="I458" s="511"/>
      <c r="J458" s="582"/>
      <c r="K458" s="511"/>
      <c r="L458" s="511"/>
      <c r="M458" s="582"/>
      <c r="N458" s="582"/>
      <c r="O458" s="582"/>
      <c r="P458" s="582"/>
      <c r="Q458" s="511"/>
      <c r="R458" s="511"/>
      <c r="S458" s="511"/>
      <c r="T458" s="639"/>
      <c r="U458" s="511"/>
      <c r="V458" s="511"/>
      <c r="W458" s="511"/>
      <c r="X458" s="511"/>
      <c r="Y458" s="380"/>
      <c r="Z458" s="380"/>
      <c r="AA458" s="380"/>
      <c r="AB458" s="380"/>
      <c r="AC458" s="380"/>
      <c r="AD458" s="671"/>
      <c r="AE458" s="380"/>
      <c r="AF458" s="380"/>
      <c r="AG458" s="380"/>
      <c r="AH458" s="671"/>
      <c r="AI458" s="380"/>
      <c r="AJ458" s="583"/>
      <c r="AK458" s="583"/>
      <c r="AL458" s="511"/>
      <c r="AM458" s="584"/>
      <c r="AN458" s="584"/>
      <c r="AO458" s="584"/>
      <c r="AP458" s="671"/>
      <c r="AQ458" s="584"/>
      <c r="AR458" s="583"/>
      <c r="AS458" s="583"/>
      <c r="AT458" s="585"/>
      <c r="AU458" s="585"/>
      <c r="AV458" s="585"/>
      <c r="AW458" s="585"/>
      <c r="AX458" s="673"/>
      <c r="AY458" s="380"/>
      <c r="AZ458" s="380"/>
      <c r="BA458" s="380"/>
      <c r="BB458" s="380"/>
      <c r="BC458" s="380"/>
      <c r="BD458" s="380"/>
      <c r="BE458" s="380"/>
      <c r="BF458" s="380"/>
      <c r="BG458" s="380"/>
      <c r="BH458" s="380"/>
      <c r="BI458" s="511"/>
      <c r="BJ458" s="380"/>
      <c r="BK458" s="380"/>
      <c r="BL458" s="380"/>
      <c r="BM458" s="380"/>
      <c r="BN458" s="380"/>
      <c r="BO458" s="380"/>
      <c r="BP458" s="380"/>
      <c r="BQ458" s="380"/>
      <c r="BR458" s="380"/>
    </row>
    <row r="459" spans="1:70" ht="12.75" customHeight="1" x14ac:dyDescent="0.25">
      <c r="A459" s="380"/>
      <c r="B459" s="380"/>
      <c r="C459" s="380"/>
      <c r="D459" s="380"/>
      <c r="E459" s="511"/>
      <c r="F459" s="511"/>
      <c r="G459" s="582"/>
      <c r="H459" s="511"/>
      <c r="I459" s="511"/>
      <c r="J459" s="582"/>
      <c r="K459" s="511"/>
      <c r="L459" s="511"/>
      <c r="M459" s="582"/>
      <c r="N459" s="582"/>
      <c r="O459" s="582"/>
      <c r="P459" s="582"/>
      <c r="Q459" s="511"/>
      <c r="R459" s="511"/>
      <c r="S459" s="511"/>
      <c r="T459" s="639"/>
      <c r="U459" s="511"/>
      <c r="V459" s="511"/>
      <c r="W459" s="511"/>
      <c r="X459" s="511"/>
      <c r="Y459" s="380"/>
      <c r="Z459" s="380"/>
      <c r="AA459" s="380"/>
      <c r="AB459" s="380"/>
      <c r="AC459" s="380"/>
      <c r="AD459" s="671"/>
      <c r="AE459" s="380"/>
      <c r="AF459" s="380"/>
      <c r="AG459" s="380"/>
      <c r="AH459" s="671"/>
      <c r="AI459" s="380"/>
      <c r="AJ459" s="583"/>
      <c r="AK459" s="583"/>
      <c r="AL459" s="511"/>
      <c r="AM459" s="584"/>
      <c r="AN459" s="584"/>
      <c r="AO459" s="584"/>
      <c r="AP459" s="671"/>
      <c r="AQ459" s="584"/>
      <c r="AR459" s="583"/>
      <c r="AS459" s="583"/>
      <c r="AT459" s="585"/>
      <c r="AU459" s="585"/>
      <c r="AV459" s="585"/>
      <c r="AW459" s="585"/>
      <c r="AX459" s="673"/>
      <c r="AY459" s="380"/>
      <c r="AZ459" s="380"/>
      <c r="BA459" s="380"/>
      <c r="BB459" s="380"/>
      <c r="BC459" s="380"/>
      <c r="BD459" s="380"/>
      <c r="BE459" s="380"/>
      <c r="BF459" s="380"/>
      <c r="BG459" s="380"/>
      <c r="BH459" s="380"/>
      <c r="BI459" s="511"/>
      <c r="BJ459" s="380"/>
      <c r="BK459" s="380"/>
      <c r="BL459" s="380"/>
      <c r="BM459" s="380"/>
      <c r="BN459" s="380"/>
      <c r="BO459" s="380"/>
      <c r="BP459" s="380"/>
      <c r="BQ459" s="380"/>
      <c r="BR459" s="380"/>
    </row>
    <row r="460" spans="1:70" ht="12.75" customHeight="1" x14ac:dyDescent="0.25">
      <c r="A460" s="380"/>
      <c r="B460" s="380"/>
      <c r="C460" s="380"/>
      <c r="D460" s="380"/>
      <c r="E460" s="511"/>
      <c r="F460" s="511"/>
      <c r="G460" s="582"/>
      <c r="H460" s="511"/>
      <c r="I460" s="511"/>
      <c r="J460" s="582"/>
      <c r="K460" s="511"/>
      <c r="L460" s="511"/>
      <c r="M460" s="582"/>
      <c r="N460" s="582"/>
      <c r="O460" s="582"/>
      <c r="P460" s="582"/>
      <c r="Q460" s="511"/>
      <c r="R460" s="511"/>
      <c r="S460" s="511"/>
      <c r="T460" s="639"/>
      <c r="U460" s="511"/>
      <c r="V460" s="511"/>
      <c r="W460" s="511"/>
      <c r="X460" s="511"/>
      <c r="Y460" s="380"/>
      <c r="Z460" s="380"/>
      <c r="AA460" s="380"/>
      <c r="AB460" s="380"/>
      <c r="AC460" s="380"/>
      <c r="AD460" s="671"/>
      <c r="AE460" s="380"/>
      <c r="AF460" s="380"/>
      <c r="AG460" s="380"/>
      <c r="AH460" s="671"/>
      <c r="AI460" s="380"/>
      <c r="AJ460" s="583"/>
      <c r="AK460" s="583"/>
      <c r="AL460" s="511"/>
      <c r="AM460" s="584"/>
      <c r="AN460" s="584"/>
      <c r="AO460" s="584"/>
      <c r="AP460" s="671"/>
      <c r="AQ460" s="584"/>
      <c r="AR460" s="583"/>
      <c r="AS460" s="583"/>
      <c r="AT460" s="585"/>
      <c r="AU460" s="585"/>
      <c r="AV460" s="585"/>
      <c r="AW460" s="585"/>
      <c r="AX460" s="673"/>
      <c r="AY460" s="380"/>
      <c r="AZ460" s="380"/>
      <c r="BA460" s="380"/>
      <c r="BB460" s="380"/>
      <c r="BC460" s="380"/>
      <c r="BD460" s="380"/>
      <c r="BE460" s="380"/>
      <c r="BF460" s="380"/>
      <c r="BG460" s="380"/>
      <c r="BH460" s="380"/>
      <c r="BI460" s="511"/>
      <c r="BJ460" s="380"/>
      <c r="BK460" s="380"/>
      <c r="BL460" s="380"/>
      <c r="BM460" s="380"/>
      <c r="BN460" s="380"/>
      <c r="BO460" s="380"/>
      <c r="BP460" s="380"/>
      <c r="BQ460" s="380"/>
      <c r="BR460" s="380"/>
    </row>
    <row r="461" spans="1:70" ht="12.75" customHeight="1" x14ac:dyDescent="0.25">
      <c r="A461" s="380"/>
      <c r="B461" s="380"/>
      <c r="C461" s="380"/>
      <c r="D461" s="380"/>
      <c r="E461" s="511"/>
      <c r="F461" s="511"/>
      <c r="G461" s="582"/>
      <c r="H461" s="511"/>
      <c r="I461" s="511"/>
      <c r="J461" s="582"/>
      <c r="K461" s="511"/>
      <c r="L461" s="511"/>
      <c r="M461" s="582"/>
      <c r="N461" s="582"/>
      <c r="O461" s="582"/>
      <c r="P461" s="582"/>
      <c r="Q461" s="511"/>
      <c r="R461" s="511"/>
      <c r="S461" s="511"/>
      <c r="T461" s="639"/>
      <c r="U461" s="511"/>
      <c r="V461" s="511"/>
      <c r="W461" s="511"/>
      <c r="X461" s="511"/>
      <c r="Y461" s="380"/>
      <c r="Z461" s="380"/>
      <c r="AA461" s="380"/>
      <c r="AB461" s="380"/>
      <c r="AC461" s="380"/>
      <c r="AD461" s="671"/>
      <c r="AE461" s="380"/>
      <c r="AF461" s="380"/>
      <c r="AG461" s="380"/>
      <c r="AH461" s="671"/>
      <c r="AI461" s="380"/>
      <c r="AJ461" s="583"/>
      <c r="AK461" s="583"/>
      <c r="AL461" s="511"/>
      <c r="AM461" s="584"/>
      <c r="AN461" s="584"/>
      <c r="AO461" s="584"/>
      <c r="AP461" s="671"/>
      <c r="AQ461" s="584"/>
      <c r="AR461" s="583"/>
      <c r="AS461" s="583"/>
      <c r="AT461" s="585"/>
      <c r="AU461" s="585"/>
      <c r="AV461" s="585"/>
      <c r="AW461" s="585"/>
      <c r="AX461" s="673"/>
      <c r="AY461" s="380"/>
      <c r="AZ461" s="380"/>
      <c r="BA461" s="380"/>
      <c r="BB461" s="380"/>
      <c r="BC461" s="380"/>
      <c r="BD461" s="380"/>
      <c r="BE461" s="380"/>
      <c r="BF461" s="380"/>
      <c r="BG461" s="380"/>
      <c r="BH461" s="380"/>
      <c r="BI461" s="511"/>
      <c r="BJ461" s="380"/>
      <c r="BK461" s="380"/>
      <c r="BL461" s="380"/>
      <c r="BM461" s="380"/>
      <c r="BN461" s="380"/>
      <c r="BO461" s="380"/>
      <c r="BP461" s="380"/>
      <c r="BQ461" s="380"/>
      <c r="BR461" s="380"/>
    </row>
    <row r="462" spans="1:70" ht="12.75" customHeight="1" x14ac:dyDescent="0.25">
      <c r="A462" s="380"/>
      <c r="B462" s="380"/>
      <c r="C462" s="380"/>
      <c r="D462" s="380"/>
      <c r="E462" s="511"/>
      <c r="F462" s="511"/>
      <c r="G462" s="582"/>
      <c r="H462" s="511"/>
      <c r="I462" s="511"/>
      <c r="J462" s="582"/>
      <c r="K462" s="511"/>
      <c r="L462" s="511"/>
      <c r="M462" s="582"/>
      <c r="N462" s="582"/>
      <c r="O462" s="582"/>
      <c r="P462" s="582"/>
      <c r="Q462" s="511"/>
      <c r="R462" s="511"/>
      <c r="S462" s="511"/>
      <c r="T462" s="639"/>
      <c r="U462" s="511"/>
      <c r="V462" s="511"/>
      <c r="W462" s="511"/>
      <c r="X462" s="511"/>
      <c r="Y462" s="380"/>
      <c r="Z462" s="380"/>
      <c r="AA462" s="380"/>
      <c r="AB462" s="380"/>
      <c r="AC462" s="380"/>
      <c r="AD462" s="671"/>
      <c r="AE462" s="380"/>
      <c r="AF462" s="380"/>
      <c r="AG462" s="380"/>
      <c r="AH462" s="671"/>
      <c r="AI462" s="380"/>
      <c r="AJ462" s="583"/>
      <c r="AK462" s="583"/>
      <c r="AL462" s="511"/>
      <c r="AM462" s="584"/>
      <c r="AN462" s="584"/>
      <c r="AO462" s="584"/>
      <c r="AP462" s="671"/>
      <c r="AQ462" s="584"/>
      <c r="AR462" s="583"/>
      <c r="AS462" s="583"/>
      <c r="AT462" s="585"/>
      <c r="AU462" s="585"/>
      <c r="AV462" s="585"/>
      <c r="AW462" s="585"/>
      <c r="AX462" s="673"/>
      <c r="AY462" s="380"/>
      <c r="AZ462" s="380"/>
      <c r="BA462" s="380"/>
      <c r="BB462" s="380"/>
      <c r="BC462" s="380"/>
      <c r="BD462" s="380"/>
      <c r="BE462" s="380"/>
      <c r="BF462" s="380"/>
      <c r="BG462" s="380"/>
      <c r="BH462" s="380"/>
      <c r="BI462" s="511"/>
      <c r="BJ462" s="380"/>
      <c r="BK462" s="380"/>
      <c r="BL462" s="380"/>
      <c r="BM462" s="380"/>
      <c r="BN462" s="380"/>
      <c r="BO462" s="380"/>
      <c r="BP462" s="380"/>
      <c r="BQ462" s="380"/>
      <c r="BR462" s="380"/>
    </row>
    <row r="463" spans="1:70" ht="12.75" customHeight="1" x14ac:dyDescent="0.25">
      <c r="A463" s="380"/>
      <c r="B463" s="380"/>
      <c r="C463" s="380"/>
      <c r="D463" s="380"/>
      <c r="E463" s="511"/>
      <c r="F463" s="511"/>
      <c r="G463" s="582"/>
      <c r="H463" s="511"/>
      <c r="I463" s="511"/>
      <c r="J463" s="582"/>
      <c r="K463" s="511"/>
      <c r="L463" s="511"/>
      <c r="M463" s="582"/>
      <c r="N463" s="582"/>
      <c r="O463" s="582"/>
      <c r="P463" s="582"/>
      <c r="Q463" s="511"/>
      <c r="R463" s="511"/>
      <c r="S463" s="511"/>
      <c r="T463" s="639"/>
      <c r="U463" s="511"/>
      <c r="V463" s="511"/>
      <c r="W463" s="511"/>
      <c r="X463" s="511"/>
      <c r="Y463" s="380"/>
      <c r="Z463" s="380"/>
      <c r="AA463" s="380"/>
      <c r="AB463" s="380"/>
      <c r="AC463" s="380"/>
      <c r="AD463" s="671"/>
      <c r="AE463" s="380"/>
      <c r="AF463" s="380"/>
      <c r="AG463" s="380"/>
      <c r="AH463" s="671"/>
      <c r="AI463" s="380"/>
      <c r="AJ463" s="583"/>
      <c r="AK463" s="583"/>
      <c r="AL463" s="511"/>
      <c r="AM463" s="584"/>
      <c r="AN463" s="584"/>
      <c r="AO463" s="584"/>
      <c r="AP463" s="671"/>
      <c r="AQ463" s="584"/>
      <c r="AR463" s="583"/>
      <c r="AS463" s="583"/>
      <c r="AT463" s="585"/>
      <c r="AU463" s="585"/>
      <c r="AV463" s="585"/>
      <c r="AW463" s="585"/>
      <c r="AX463" s="673"/>
      <c r="AY463" s="380"/>
      <c r="AZ463" s="380"/>
      <c r="BA463" s="380"/>
      <c r="BB463" s="380"/>
      <c r="BC463" s="380"/>
      <c r="BD463" s="380"/>
      <c r="BE463" s="380"/>
      <c r="BF463" s="380"/>
      <c r="BG463" s="380"/>
      <c r="BH463" s="380"/>
      <c r="BI463" s="511"/>
      <c r="BJ463" s="380"/>
      <c r="BK463" s="380"/>
      <c r="BL463" s="380"/>
      <c r="BM463" s="380"/>
      <c r="BN463" s="380"/>
      <c r="BO463" s="380"/>
      <c r="BP463" s="380"/>
      <c r="BQ463" s="380"/>
      <c r="BR463" s="380"/>
    </row>
    <row r="464" spans="1:70" ht="12.75" customHeight="1" x14ac:dyDescent="0.25">
      <c r="A464" s="380"/>
      <c r="B464" s="380"/>
      <c r="C464" s="380"/>
      <c r="D464" s="380"/>
      <c r="E464" s="511"/>
      <c r="F464" s="511"/>
      <c r="G464" s="582"/>
      <c r="H464" s="511"/>
      <c r="I464" s="511"/>
      <c r="J464" s="582"/>
      <c r="K464" s="511"/>
      <c r="L464" s="511"/>
      <c r="M464" s="582"/>
      <c r="N464" s="582"/>
      <c r="O464" s="582"/>
      <c r="P464" s="582"/>
      <c r="Q464" s="511"/>
      <c r="R464" s="511"/>
      <c r="S464" s="511"/>
      <c r="T464" s="639"/>
      <c r="U464" s="511"/>
      <c r="V464" s="511"/>
      <c r="W464" s="511"/>
      <c r="X464" s="511"/>
      <c r="Y464" s="380"/>
      <c r="Z464" s="380"/>
      <c r="AA464" s="380"/>
      <c r="AB464" s="380"/>
      <c r="AC464" s="380"/>
      <c r="AD464" s="671"/>
      <c r="AE464" s="380"/>
      <c r="AF464" s="380"/>
      <c r="AG464" s="380"/>
      <c r="AH464" s="671"/>
      <c r="AI464" s="380"/>
      <c r="AJ464" s="583"/>
      <c r="AK464" s="583"/>
      <c r="AL464" s="511"/>
      <c r="AM464" s="584"/>
      <c r="AN464" s="584"/>
      <c r="AO464" s="584"/>
      <c r="AP464" s="671"/>
      <c r="AQ464" s="584"/>
      <c r="AR464" s="583"/>
      <c r="AS464" s="583"/>
      <c r="AT464" s="585"/>
      <c r="AU464" s="585"/>
      <c r="AV464" s="585"/>
      <c r="AW464" s="585"/>
      <c r="AX464" s="673"/>
      <c r="AY464" s="380"/>
      <c r="AZ464" s="380"/>
      <c r="BA464" s="380"/>
      <c r="BB464" s="380"/>
      <c r="BC464" s="380"/>
      <c r="BD464" s="380"/>
      <c r="BE464" s="380"/>
      <c r="BF464" s="380"/>
      <c r="BG464" s="380"/>
      <c r="BH464" s="380"/>
      <c r="BI464" s="511"/>
      <c r="BJ464" s="380"/>
      <c r="BK464" s="380"/>
      <c r="BL464" s="380"/>
      <c r="BM464" s="380"/>
      <c r="BN464" s="380"/>
      <c r="BO464" s="380"/>
      <c r="BP464" s="380"/>
      <c r="BQ464" s="380"/>
      <c r="BR464" s="380"/>
    </row>
    <row r="465" spans="1:70" ht="12.75" customHeight="1" x14ac:dyDescent="0.25">
      <c r="A465" s="380"/>
      <c r="B465" s="380"/>
      <c r="C465" s="380"/>
      <c r="D465" s="380"/>
      <c r="E465" s="511"/>
      <c r="F465" s="511"/>
      <c r="G465" s="582"/>
      <c r="H465" s="511"/>
      <c r="I465" s="511"/>
      <c r="J465" s="582"/>
      <c r="K465" s="511"/>
      <c r="L465" s="511"/>
      <c r="M465" s="582"/>
      <c r="N465" s="582"/>
      <c r="O465" s="582"/>
      <c r="P465" s="582"/>
      <c r="Q465" s="511"/>
      <c r="R465" s="511"/>
      <c r="S465" s="511"/>
      <c r="T465" s="639"/>
      <c r="U465" s="511"/>
      <c r="V465" s="511"/>
      <c r="W465" s="511"/>
      <c r="X465" s="511"/>
      <c r="Y465" s="380"/>
      <c r="Z465" s="380"/>
      <c r="AA465" s="380"/>
      <c r="AB465" s="380"/>
      <c r="AC465" s="380"/>
      <c r="AD465" s="671"/>
      <c r="AE465" s="380"/>
      <c r="AF465" s="380"/>
      <c r="AG465" s="380"/>
      <c r="AH465" s="671"/>
      <c r="AI465" s="380"/>
      <c r="AJ465" s="583"/>
      <c r="AK465" s="583"/>
      <c r="AL465" s="511"/>
      <c r="AM465" s="584"/>
      <c r="AN465" s="584"/>
      <c r="AO465" s="584"/>
      <c r="AP465" s="671"/>
      <c r="AQ465" s="584"/>
      <c r="AR465" s="583"/>
      <c r="AS465" s="583"/>
      <c r="AT465" s="585"/>
      <c r="AU465" s="585"/>
      <c r="AV465" s="585"/>
      <c r="AW465" s="585"/>
      <c r="AX465" s="673"/>
      <c r="AY465" s="380"/>
      <c r="AZ465" s="380"/>
      <c r="BA465" s="380"/>
      <c r="BB465" s="380"/>
      <c r="BC465" s="380"/>
      <c r="BD465" s="380"/>
      <c r="BE465" s="380"/>
      <c r="BF465" s="380"/>
      <c r="BG465" s="380"/>
      <c r="BH465" s="380"/>
      <c r="BI465" s="511"/>
      <c r="BJ465" s="380"/>
      <c r="BK465" s="380"/>
      <c r="BL465" s="380"/>
      <c r="BM465" s="380"/>
      <c r="BN465" s="380"/>
      <c r="BO465" s="380"/>
      <c r="BP465" s="380"/>
      <c r="BQ465" s="380"/>
      <c r="BR465" s="380"/>
    </row>
    <row r="466" spans="1:70" ht="12.75" customHeight="1" x14ac:dyDescent="0.25">
      <c r="A466" s="380"/>
      <c r="B466" s="380"/>
      <c r="C466" s="380"/>
      <c r="D466" s="380"/>
      <c r="E466" s="511"/>
      <c r="F466" s="511"/>
      <c r="G466" s="582"/>
      <c r="H466" s="511"/>
      <c r="I466" s="511"/>
      <c r="J466" s="582"/>
      <c r="K466" s="511"/>
      <c r="L466" s="511"/>
      <c r="M466" s="582"/>
      <c r="N466" s="582"/>
      <c r="O466" s="582"/>
      <c r="P466" s="582"/>
      <c r="Q466" s="511"/>
      <c r="R466" s="511"/>
      <c r="S466" s="511"/>
      <c r="T466" s="639"/>
      <c r="U466" s="511"/>
      <c r="V466" s="511"/>
      <c r="W466" s="511"/>
      <c r="X466" s="511"/>
      <c r="Y466" s="380"/>
      <c r="Z466" s="380"/>
      <c r="AA466" s="380"/>
      <c r="AB466" s="380"/>
      <c r="AC466" s="380"/>
      <c r="AD466" s="671"/>
      <c r="AE466" s="380"/>
      <c r="AF466" s="380"/>
      <c r="AG466" s="380"/>
      <c r="AH466" s="671"/>
      <c r="AI466" s="380"/>
      <c r="AJ466" s="583"/>
      <c r="AK466" s="583"/>
      <c r="AL466" s="511"/>
      <c r="AM466" s="584"/>
      <c r="AN466" s="584"/>
      <c r="AO466" s="584"/>
      <c r="AP466" s="671"/>
      <c r="AQ466" s="584"/>
      <c r="AR466" s="583"/>
      <c r="AS466" s="583"/>
      <c r="AT466" s="585"/>
      <c r="AU466" s="585"/>
      <c r="AV466" s="585"/>
      <c r="AW466" s="585"/>
      <c r="AX466" s="673"/>
      <c r="AY466" s="380"/>
      <c r="AZ466" s="380"/>
      <c r="BA466" s="380"/>
      <c r="BB466" s="380"/>
      <c r="BC466" s="380"/>
      <c r="BD466" s="380"/>
      <c r="BE466" s="380"/>
      <c r="BF466" s="380"/>
      <c r="BG466" s="380"/>
      <c r="BH466" s="380"/>
      <c r="BI466" s="511"/>
      <c r="BJ466" s="380"/>
      <c r="BK466" s="380"/>
      <c r="BL466" s="380"/>
      <c r="BM466" s="380"/>
      <c r="BN466" s="380"/>
      <c r="BO466" s="380"/>
      <c r="BP466" s="380"/>
      <c r="BQ466" s="380"/>
      <c r="BR466" s="380"/>
    </row>
    <row r="467" spans="1:70" ht="12.75" customHeight="1" x14ac:dyDescent="0.25">
      <c r="A467" s="380"/>
      <c r="B467" s="380"/>
      <c r="C467" s="380"/>
      <c r="D467" s="380"/>
      <c r="E467" s="511"/>
      <c r="F467" s="511"/>
      <c r="G467" s="582"/>
      <c r="H467" s="511"/>
      <c r="I467" s="511"/>
      <c r="J467" s="582"/>
      <c r="K467" s="511"/>
      <c r="L467" s="511"/>
      <c r="M467" s="582"/>
      <c r="N467" s="582"/>
      <c r="O467" s="582"/>
      <c r="P467" s="582"/>
      <c r="Q467" s="511"/>
      <c r="R467" s="511"/>
      <c r="S467" s="511"/>
      <c r="T467" s="639"/>
      <c r="U467" s="511"/>
      <c r="V467" s="511"/>
      <c r="W467" s="511"/>
      <c r="X467" s="511"/>
      <c r="Y467" s="380"/>
      <c r="Z467" s="380"/>
      <c r="AA467" s="380"/>
      <c r="AB467" s="380"/>
      <c r="AC467" s="380"/>
      <c r="AD467" s="671"/>
      <c r="AE467" s="380"/>
      <c r="AF467" s="380"/>
      <c r="AG467" s="380"/>
      <c r="AH467" s="671"/>
      <c r="AI467" s="380"/>
      <c r="AJ467" s="583"/>
      <c r="AK467" s="583"/>
      <c r="AL467" s="511"/>
      <c r="AM467" s="584"/>
      <c r="AN467" s="584"/>
      <c r="AO467" s="584"/>
      <c r="AP467" s="671"/>
      <c r="AQ467" s="584"/>
      <c r="AR467" s="583"/>
      <c r="AS467" s="583"/>
      <c r="AT467" s="585"/>
      <c r="AU467" s="585"/>
      <c r="AV467" s="585"/>
      <c r="AW467" s="585"/>
      <c r="AX467" s="673"/>
      <c r="AY467" s="380"/>
      <c r="AZ467" s="380"/>
      <c r="BA467" s="380"/>
      <c r="BB467" s="380"/>
      <c r="BC467" s="380"/>
      <c r="BD467" s="380"/>
      <c r="BE467" s="380"/>
      <c r="BF467" s="380"/>
      <c r="BG467" s="380"/>
      <c r="BH467" s="380"/>
      <c r="BI467" s="511"/>
      <c r="BJ467" s="380"/>
      <c r="BK467" s="380"/>
      <c r="BL467" s="380"/>
      <c r="BM467" s="380"/>
      <c r="BN467" s="380"/>
      <c r="BO467" s="380"/>
      <c r="BP467" s="380"/>
      <c r="BQ467" s="380"/>
      <c r="BR467" s="380"/>
    </row>
    <row r="468" spans="1:70" ht="12.75" customHeight="1" x14ac:dyDescent="0.25">
      <c r="A468" s="380"/>
      <c r="B468" s="380"/>
      <c r="C468" s="380"/>
      <c r="D468" s="380"/>
      <c r="E468" s="511"/>
      <c r="F468" s="511"/>
      <c r="G468" s="582"/>
      <c r="H468" s="511"/>
      <c r="I468" s="511"/>
      <c r="J468" s="582"/>
      <c r="K468" s="511"/>
      <c r="L468" s="511"/>
      <c r="M468" s="582"/>
      <c r="N468" s="582"/>
      <c r="O468" s="582"/>
      <c r="P468" s="582"/>
      <c r="Q468" s="511"/>
      <c r="R468" s="511"/>
      <c r="S468" s="511"/>
      <c r="T468" s="639"/>
      <c r="U468" s="511"/>
      <c r="V468" s="511"/>
      <c r="W468" s="511"/>
      <c r="X468" s="511"/>
      <c r="Y468" s="380"/>
      <c r="Z468" s="380"/>
      <c r="AA468" s="380"/>
      <c r="AB468" s="380"/>
      <c r="AC468" s="380"/>
      <c r="AD468" s="671"/>
      <c r="AE468" s="380"/>
      <c r="AF468" s="380"/>
      <c r="AG468" s="380"/>
      <c r="AH468" s="671"/>
      <c r="AI468" s="380"/>
      <c r="AJ468" s="583"/>
      <c r="AK468" s="583"/>
      <c r="AL468" s="511"/>
      <c r="AM468" s="584"/>
      <c r="AN468" s="584"/>
      <c r="AO468" s="584"/>
      <c r="AP468" s="671"/>
      <c r="AQ468" s="584"/>
      <c r="AR468" s="583"/>
      <c r="AS468" s="583"/>
      <c r="AT468" s="585"/>
      <c r="AU468" s="585"/>
      <c r="AV468" s="585"/>
      <c r="AW468" s="585"/>
      <c r="AX468" s="673"/>
      <c r="AY468" s="380"/>
      <c r="AZ468" s="380"/>
      <c r="BA468" s="380"/>
      <c r="BB468" s="380"/>
      <c r="BC468" s="380"/>
      <c r="BD468" s="380"/>
      <c r="BE468" s="380"/>
      <c r="BF468" s="380"/>
      <c r="BG468" s="380"/>
      <c r="BH468" s="380"/>
      <c r="BI468" s="511"/>
      <c r="BJ468" s="380"/>
      <c r="BK468" s="380"/>
      <c r="BL468" s="380"/>
      <c r="BM468" s="380"/>
      <c r="BN468" s="380"/>
      <c r="BO468" s="380"/>
      <c r="BP468" s="380"/>
      <c r="BQ468" s="380"/>
      <c r="BR468" s="380"/>
    </row>
    <row r="469" spans="1:70" ht="12.75" customHeight="1" x14ac:dyDescent="0.25">
      <c r="A469" s="380"/>
      <c r="B469" s="380"/>
      <c r="C469" s="380"/>
      <c r="D469" s="380"/>
      <c r="E469" s="511"/>
      <c r="F469" s="511"/>
      <c r="G469" s="582"/>
      <c r="H469" s="511"/>
      <c r="I469" s="511"/>
      <c r="J469" s="582"/>
      <c r="K469" s="511"/>
      <c r="L469" s="511"/>
      <c r="M469" s="582"/>
      <c r="N469" s="582"/>
      <c r="O469" s="582"/>
      <c r="P469" s="582"/>
      <c r="Q469" s="511"/>
      <c r="R469" s="511"/>
      <c r="S469" s="511"/>
      <c r="T469" s="639"/>
      <c r="U469" s="511"/>
      <c r="V469" s="511"/>
      <c r="W469" s="511"/>
      <c r="X469" s="511"/>
      <c r="Y469" s="380"/>
      <c r="Z469" s="380"/>
      <c r="AA469" s="380"/>
      <c r="AB469" s="380"/>
      <c r="AC469" s="380"/>
      <c r="AD469" s="671"/>
      <c r="AE469" s="380"/>
      <c r="AF469" s="380"/>
      <c r="AG469" s="380"/>
      <c r="AH469" s="671"/>
      <c r="AI469" s="380"/>
      <c r="AJ469" s="583"/>
      <c r="AK469" s="583"/>
      <c r="AL469" s="511"/>
      <c r="AM469" s="584"/>
      <c r="AN469" s="584"/>
      <c r="AO469" s="584"/>
      <c r="AP469" s="671"/>
      <c r="AQ469" s="584"/>
      <c r="AR469" s="583"/>
      <c r="AS469" s="583"/>
      <c r="AT469" s="585"/>
      <c r="AU469" s="585"/>
      <c r="AV469" s="585"/>
      <c r="AW469" s="585"/>
      <c r="AX469" s="673"/>
      <c r="AY469" s="380"/>
      <c r="AZ469" s="380"/>
      <c r="BA469" s="380"/>
      <c r="BB469" s="380"/>
      <c r="BC469" s="380"/>
      <c r="BD469" s="380"/>
      <c r="BE469" s="380"/>
      <c r="BF469" s="380"/>
      <c r="BG469" s="380"/>
      <c r="BH469" s="380"/>
      <c r="BI469" s="511"/>
      <c r="BJ469" s="380"/>
      <c r="BK469" s="380"/>
      <c r="BL469" s="380"/>
      <c r="BM469" s="380"/>
      <c r="BN469" s="380"/>
      <c r="BO469" s="380"/>
      <c r="BP469" s="380"/>
      <c r="BQ469" s="380"/>
      <c r="BR469" s="380"/>
    </row>
    <row r="470" spans="1:70" ht="12.75" customHeight="1" x14ac:dyDescent="0.25">
      <c r="A470" s="380"/>
      <c r="B470" s="380"/>
      <c r="C470" s="380"/>
      <c r="D470" s="380"/>
      <c r="E470" s="511"/>
      <c r="F470" s="511"/>
      <c r="G470" s="582"/>
      <c r="H470" s="511"/>
      <c r="I470" s="511"/>
      <c r="J470" s="582"/>
      <c r="K470" s="511"/>
      <c r="L470" s="511"/>
      <c r="M470" s="582"/>
      <c r="N470" s="582"/>
      <c r="O470" s="582"/>
      <c r="P470" s="582"/>
      <c r="Q470" s="511"/>
      <c r="R470" s="511"/>
      <c r="S470" s="511"/>
      <c r="T470" s="639"/>
      <c r="U470" s="511"/>
      <c r="V470" s="511"/>
      <c r="W470" s="511"/>
      <c r="X470" s="511"/>
      <c r="Y470" s="380"/>
      <c r="Z470" s="380"/>
      <c r="AA470" s="380"/>
      <c r="AB470" s="380"/>
      <c r="AC470" s="380"/>
      <c r="AD470" s="671"/>
      <c r="AE470" s="380"/>
      <c r="AF470" s="380"/>
      <c r="AG470" s="380"/>
      <c r="AH470" s="671"/>
      <c r="AI470" s="380"/>
      <c r="AJ470" s="583"/>
      <c r="AK470" s="583"/>
      <c r="AL470" s="511"/>
      <c r="AM470" s="584"/>
      <c r="AN470" s="584"/>
      <c r="AO470" s="584"/>
      <c r="AP470" s="671"/>
      <c r="AQ470" s="584"/>
      <c r="AR470" s="583"/>
      <c r="AS470" s="583"/>
      <c r="AT470" s="585"/>
      <c r="AU470" s="585"/>
      <c r="AV470" s="585"/>
      <c r="AW470" s="585"/>
      <c r="AX470" s="673"/>
      <c r="AY470" s="380"/>
      <c r="AZ470" s="380"/>
      <c r="BA470" s="380"/>
      <c r="BB470" s="380"/>
      <c r="BC470" s="380"/>
      <c r="BD470" s="380"/>
      <c r="BE470" s="380"/>
      <c r="BF470" s="380"/>
      <c r="BG470" s="380"/>
      <c r="BH470" s="380"/>
      <c r="BI470" s="511"/>
      <c r="BJ470" s="380"/>
      <c r="BK470" s="380"/>
      <c r="BL470" s="380"/>
      <c r="BM470" s="380"/>
      <c r="BN470" s="380"/>
      <c r="BO470" s="380"/>
      <c r="BP470" s="380"/>
      <c r="BQ470" s="380"/>
      <c r="BR470" s="380"/>
    </row>
    <row r="471" spans="1:70" ht="12.75" customHeight="1" x14ac:dyDescent="0.25">
      <c r="A471" s="380"/>
      <c r="B471" s="380"/>
      <c r="C471" s="380"/>
      <c r="D471" s="380"/>
      <c r="E471" s="511"/>
      <c r="F471" s="511"/>
      <c r="G471" s="582"/>
      <c r="H471" s="511"/>
      <c r="I471" s="511"/>
      <c r="J471" s="582"/>
      <c r="K471" s="511"/>
      <c r="L471" s="511"/>
      <c r="M471" s="582"/>
      <c r="N471" s="582"/>
      <c r="O471" s="582"/>
      <c r="P471" s="582"/>
      <c r="Q471" s="511"/>
      <c r="R471" s="511"/>
      <c r="S471" s="511"/>
      <c r="T471" s="639"/>
      <c r="U471" s="511"/>
      <c r="V471" s="511"/>
      <c r="W471" s="511"/>
      <c r="X471" s="511"/>
      <c r="Y471" s="380"/>
      <c r="Z471" s="380"/>
      <c r="AA471" s="380"/>
      <c r="AB471" s="380"/>
      <c r="AC471" s="380"/>
      <c r="AD471" s="671"/>
      <c r="AE471" s="380"/>
      <c r="AF471" s="380"/>
      <c r="AG471" s="380"/>
      <c r="AH471" s="671"/>
      <c r="AI471" s="380"/>
      <c r="AJ471" s="583"/>
      <c r="AK471" s="583"/>
      <c r="AL471" s="511"/>
      <c r="AM471" s="584"/>
      <c r="AN471" s="584"/>
      <c r="AO471" s="584"/>
      <c r="AP471" s="671"/>
      <c r="AQ471" s="584"/>
      <c r="AR471" s="583"/>
      <c r="AS471" s="583"/>
      <c r="AT471" s="585"/>
      <c r="AU471" s="585"/>
      <c r="AV471" s="585"/>
      <c r="AW471" s="585"/>
      <c r="AX471" s="673"/>
      <c r="AY471" s="380"/>
      <c r="AZ471" s="380"/>
      <c r="BA471" s="380"/>
      <c r="BB471" s="380"/>
      <c r="BC471" s="380"/>
      <c r="BD471" s="380"/>
      <c r="BE471" s="380"/>
      <c r="BF471" s="380"/>
      <c r="BG471" s="380"/>
      <c r="BH471" s="380"/>
      <c r="BI471" s="511"/>
      <c r="BJ471" s="380"/>
      <c r="BK471" s="380"/>
      <c r="BL471" s="380"/>
      <c r="BM471" s="380"/>
      <c r="BN471" s="380"/>
      <c r="BO471" s="380"/>
      <c r="BP471" s="380"/>
      <c r="BQ471" s="380"/>
      <c r="BR471" s="380"/>
    </row>
    <row r="472" spans="1:70" ht="12.75" customHeight="1" x14ac:dyDescent="0.25">
      <c r="A472" s="380"/>
      <c r="B472" s="380"/>
      <c r="C472" s="380"/>
      <c r="D472" s="380"/>
      <c r="E472" s="511"/>
      <c r="F472" s="511"/>
      <c r="G472" s="582"/>
      <c r="H472" s="511"/>
      <c r="I472" s="511"/>
      <c r="J472" s="582"/>
      <c r="K472" s="511"/>
      <c r="L472" s="511"/>
      <c r="M472" s="582"/>
      <c r="N472" s="582"/>
      <c r="O472" s="582"/>
      <c r="P472" s="582"/>
      <c r="Q472" s="511"/>
      <c r="R472" s="511"/>
      <c r="S472" s="511"/>
      <c r="T472" s="639"/>
      <c r="U472" s="511"/>
      <c r="V472" s="511"/>
      <c r="W472" s="511"/>
      <c r="X472" s="511"/>
      <c r="Y472" s="380"/>
      <c r="Z472" s="380"/>
      <c r="AA472" s="380"/>
      <c r="AB472" s="380"/>
      <c r="AC472" s="380"/>
      <c r="AD472" s="671"/>
      <c r="AE472" s="380"/>
      <c r="AF472" s="380"/>
      <c r="AG472" s="380"/>
      <c r="AH472" s="671"/>
      <c r="AI472" s="380"/>
      <c r="AJ472" s="583"/>
      <c r="AK472" s="583"/>
      <c r="AL472" s="511"/>
      <c r="AM472" s="584"/>
      <c r="AN472" s="584"/>
      <c r="AO472" s="584"/>
      <c r="AP472" s="671"/>
      <c r="AQ472" s="584"/>
      <c r="AR472" s="583"/>
      <c r="AS472" s="583"/>
      <c r="AT472" s="585"/>
      <c r="AU472" s="585"/>
      <c r="AV472" s="585"/>
      <c r="AW472" s="585"/>
      <c r="AX472" s="673"/>
      <c r="AY472" s="380"/>
      <c r="AZ472" s="380"/>
      <c r="BA472" s="380"/>
      <c r="BB472" s="380"/>
      <c r="BC472" s="380"/>
      <c r="BD472" s="380"/>
      <c r="BE472" s="380"/>
      <c r="BF472" s="380"/>
      <c r="BG472" s="380"/>
      <c r="BH472" s="380"/>
      <c r="BI472" s="511"/>
      <c r="BJ472" s="380"/>
      <c r="BK472" s="380"/>
      <c r="BL472" s="380"/>
      <c r="BM472" s="380"/>
      <c r="BN472" s="380"/>
      <c r="BO472" s="380"/>
      <c r="BP472" s="380"/>
      <c r="BQ472" s="380"/>
      <c r="BR472" s="380"/>
    </row>
    <row r="473" spans="1:70" ht="12.75" customHeight="1" x14ac:dyDescent="0.25">
      <c r="A473" s="380"/>
      <c r="B473" s="380"/>
      <c r="C473" s="380"/>
      <c r="D473" s="380"/>
      <c r="E473" s="511"/>
      <c r="F473" s="511"/>
      <c r="G473" s="582"/>
      <c r="H473" s="511"/>
      <c r="I473" s="511"/>
      <c r="J473" s="582"/>
      <c r="K473" s="511"/>
      <c r="L473" s="511"/>
      <c r="M473" s="582"/>
      <c r="N473" s="582"/>
      <c r="O473" s="582"/>
      <c r="P473" s="582"/>
      <c r="Q473" s="511"/>
      <c r="R473" s="511"/>
      <c r="S473" s="511"/>
      <c r="T473" s="639"/>
      <c r="U473" s="511"/>
      <c r="V473" s="511"/>
      <c r="W473" s="511"/>
      <c r="X473" s="511"/>
      <c r="Y473" s="380"/>
      <c r="Z473" s="380"/>
      <c r="AA473" s="380"/>
      <c r="AB473" s="380"/>
      <c r="AC473" s="380"/>
      <c r="AD473" s="671"/>
      <c r="AE473" s="380"/>
      <c r="AF473" s="380"/>
      <c r="AG473" s="380"/>
      <c r="AH473" s="671"/>
      <c r="AI473" s="380"/>
      <c r="AJ473" s="583"/>
      <c r="AK473" s="583"/>
      <c r="AL473" s="511"/>
      <c r="AM473" s="584"/>
      <c r="AN473" s="584"/>
      <c r="AO473" s="584"/>
      <c r="AP473" s="671"/>
      <c r="AQ473" s="584"/>
      <c r="AR473" s="583"/>
      <c r="AS473" s="583"/>
      <c r="AT473" s="585"/>
      <c r="AU473" s="585"/>
      <c r="AV473" s="585"/>
      <c r="AW473" s="585"/>
      <c r="AX473" s="673"/>
      <c r="AY473" s="380"/>
      <c r="AZ473" s="380"/>
      <c r="BA473" s="380"/>
      <c r="BB473" s="380"/>
      <c r="BC473" s="380"/>
      <c r="BD473" s="380"/>
      <c r="BE473" s="380"/>
      <c r="BF473" s="380"/>
      <c r="BG473" s="380"/>
      <c r="BH473" s="380"/>
      <c r="BI473" s="511"/>
      <c r="BJ473" s="380"/>
      <c r="BK473" s="380"/>
      <c r="BL473" s="380"/>
      <c r="BM473" s="380"/>
      <c r="BN473" s="380"/>
      <c r="BO473" s="380"/>
      <c r="BP473" s="380"/>
      <c r="BQ473" s="380"/>
      <c r="BR473" s="380"/>
    </row>
    <row r="474" spans="1:70" ht="12.75" customHeight="1" x14ac:dyDescent="0.25">
      <c r="A474" s="380"/>
      <c r="B474" s="380"/>
      <c r="C474" s="380"/>
      <c r="D474" s="380"/>
      <c r="E474" s="511"/>
      <c r="F474" s="511"/>
      <c r="G474" s="582"/>
      <c r="H474" s="511"/>
      <c r="I474" s="511"/>
      <c r="J474" s="582"/>
      <c r="K474" s="511"/>
      <c r="L474" s="511"/>
      <c r="M474" s="582"/>
      <c r="N474" s="582"/>
      <c r="O474" s="582"/>
      <c r="P474" s="582"/>
      <c r="Q474" s="511"/>
      <c r="R474" s="511"/>
      <c r="S474" s="511"/>
      <c r="T474" s="639"/>
      <c r="U474" s="511"/>
      <c r="V474" s="511"/>
      <c r="W474" s="511"/>
      <c r="X474" s="511"/>
      <c r="Y474" s="380"/>
      <c r="Z474" s="380"/>
      <c r="AA474" s="380"/>
      <c r="AB474" s="380"/>
      <c r="AC474" s="380"/>
      <c r="AD474" s="671"/>
      <c r="AE474" s="380"/>
      <c r="AF474" s="380"/>
      <c r="AG474" s="380"/>
      <c r="AH474" s="671"/>
      <c r="AI474" s="380"/>
      <c r="AJ474" s="583"/>
      <c r="AK474" s="583"/>
      <c r="AL474" s="511"/>
      <c r="AM474" s="584"/>
      <c r="AN474" s="584"/>
      <c r="AO474" s="584"/>
      <c r="AP474" s="671"/>
      <c r="AQ474" s="584"/>
      <c r="AR474" s="583"/>
      <c r="AS474" s="583"/>
      <c r="AT474" s="585"/>
      <c r="AU474" s="585"/>
      <c r="AV474" s="585"/>
      <c r="AW474" s="585"/>
      <c r="AX474" s="673"/>
      <c r="AY474" s="380"/>
      <c r="AZ474" s="380"/>
      <c r="BA474" s="380"/>
      <c r="BB474" s="380"/>
      <c r="BC474" s="380"/>
      <c r="BD474" s="380"/>
      <c r="BE474" s="380"/>
      <c r="BF474" s="380"/>
      <c r="BG474" s="380"/>
      <c r="BH474" s="380"/>
      <c r="BI474" s="511"/>
      <c r="BJ474" s="380"/>
      <c r="BK474" s="380"/>
      <c r="BL474" s="380"/>
      <c r="BM474" s="380"/>
      <c r="BN474" s="380"/>
      <c r="BO474" s="380"/>
      <c r="BP474" s="380"/>
      <c r="BQ474" s="380"/>
      <c r="BR474" s="380"/>
    </row>
    <row r="475" spans="1:70" ht="12.75" customHeight="1" x14ac:dyDescent="0.25">
      <c r="A475" s="380"/>
      <c r="B475" s="380"/>
      <c r="C475" s="380"/>
      <c r="D475" s="380"/>
      <c r="E475" s="511"/>
      <c r="F475" s="511"/>
      <c r="G475" s="582"/>
      <c r="H475" s="511"/>
      <c r="I475" s="511"/>
      <c r="J475" s="582"/>
      <c r="K475" s="511"/>
      <c r="L475" s="511"/>
      <c r="M475" s="582"/>
      <c r="N475" s="582"/>
      <c r="O475" s="582"/>
      <c r="P475" s="582"/>
      <c r="Q475" s="511"/>
      <c r="R475" s="511"/>
      <c r="S475" s="511"/>
      <c r="T475" s="639"/>
      <c r="U475" s="511"/>
      <c r="V475" s="511"/>
      <c r="W475" s="511"/>
      <c r="X475" s="511"/>
      <c r="Y475" s="380"/>
      <c r="Z475" s="380"/>
      <c r="AA475" s="380"/>
      <c r="AB475" s="380"/>
      <c r="AC475" s="380"/>
      <c r="AD475" s="671"/>
      <c r="AE475" s="380"/>
      <c r="AF475" s="380"/>
      <c r="AG475" s="380"/>
      <c r="AH475" s="671"/>
      <c r="AI475" s="380"/>
      <c r="AJ475" s="583"/>
      <c r="AK475" s="583"/>
      <c r="AL475" s="511"/>
      <c r="AM475" s="584"/>
      <c r="AN475" s="584"/>
      <c r="AO475" s="584"/>
      <c r="AP475" s="671"/>
      <c r="AQ475" s="584"/>
      <c r="AR475" s="583"/>
      <c r="AS475" s="583"/>
      <c r="AT475" s="585"/>
      <c r="AU475" s="585"/>
      <c r="AV475" s="585"/>
      <c r="AW475" s="585"/>
      <c r="AX475" s="673"/>
      <c r="AY475" s="380"/>
      <c r="AZ475" s="380"/>
      <c r="BA475" s="380"/>
      <c r="BB475" s="380"/>
      <c r="BC475" s="380"/>
      <c r="BD475" s="380"/>
      <c r="BE475" s="380"/>
      <c r="BF475" s="380"/>
      <c r="BG475" s="380"/>
      <c r="BH475" s="380"/>
      <c r="BI475" s="511"/>
      <c r="BJ475" s="380"/>
      <c r="BK475" s="380"/>
      <c r="BL475" s="380"/>
      <c r="BM475" s="380"/>
      <c r="BN475" s="380"/>
      <c r="BO475" s="380"/>
      <c r="BP475" s="380"/>
      <c r="BQ475" s="380"/>
      <c r="BR475" s="380"/>
    </row>
    <row r="476" spans="1:70" ht="12.75" customHeight="1" x14ac:dyDescent="0.25">
      <c r="A476" s="380"/>
      <c r="B476" s="380"/>
      <c r="C476" s="380"/>
      <c r="D476" s="380"/>
      <c r="E476" s="511"/>
      <c r="F476" s="511"/>
      <c r="G476" s="582"/>
      <c r="H476" s="511"/>
      <c r="I476" s="511"/>
      <c r="J476" s="582"/>
      <c r="K476" s="511"/>
      <c r="L476" s="511"/>
      <c r="M476" s="582"/>
      <c r="N476" s="582"/>
      <c r="O476" s="582"/>
      <c r="P476" s="582"/>
      <c r="Q476" s="511"/>
      <c r="R476" s="511"/>
      <c r="S476" s="511"/>
      <c r="T476" s="639"/>
      <c r="U476" s="511"/>
      <c r="V476" s="511"/>
      <c r="W476" s="511"/>
      <c r="X476" s="511"/>
      <c r="Y476" s="380"/>
      <c r="Z476" s="380"/>
      <c r="AA476" s="380"/>
      <c r="AB476" s="380"/>
      <c r="AC476" s="380"/>
      <c r="AD476" s="671"/>
      <c r="AE476" s="380"/>
      <c r="AF476" s="380"/>
      <c r="AG476" s="380"/>
      <c r="AH476" s="671"/>
      <c r="AI476" s="380"/>
      <c r="AJ476" s="583"/>
      <c r="AK476" s="583"/>
      <c r="AL476" s="511"/>
      <c r="AM476" s="584"/>
      <c r="AN476" s="584"/>
      <c r="AO476" s="584"/>
      <c r="AP476" s="671"/>
      <c r="AQ476" s="584"/>
      <c r="AR476" s="583"/>
      <c r="AS476" s="583"/>
      <c r="AT476" s="585"/>
      <c r="AU476" s="585"/>
      <c r="AV476" s="585"/>
      <c r="AW476" s="585"/>
      <c r="AX476" s="673"/>
      <c r="AY476" s="380"/>
      <c r="AZ476" s="380"/>
      <c r="BA476" s="380"/>
      <c r="BB476" s="380"/>
      <c r="BC476" s="380"/>
      <c r="BD476" s="380"/>
      <c r="BE476" s="380"/>
      <c r="BF476" s="380"/>
      <c r="BG476" s="380"/>
      <c r="BH476" s="380"/>
      <c r="BI476" s="511"/>
      <c r="BJ476" s="380"/>
      <c r="BK476" s="380"/>
      <c r="BL476" s="380"/>
      <c r="BM476" s="380"/>
      <c r="BN476" s="380"/>
      <c r="BO476" s="380"/>
      <c r="BP476" s="380"/>
      <c r="BQ476" s="380"/>
      <c r="BR476" s="380"/>
    </row>
    <row r="477" spans="1:70" ht="12.75" customHeight="1" x14ac:dyDescent="0.25">
      <c r="A477" s="380"/>
      <c r="B477" s="380"/>
      <c r="C477" s="380"/>
      <c r="D477" s="380"/>
      <c r="E477" s="511"/>
      <c r="F477" s="511"/>
      <c r="G477" s="582"/>
      <c r="H477" s="511"/>
      <c r="I477" s="511"/>
      <c r="J477" s="582"/>
      <c r="K477" s="511"/>
      <c r="L477" s="511"/>
      <c r="M477" s="582"/>
      <c r="N477" s="582"/>
      <c r="O477" s="582"/>
      <c r="P477" s="582"/>
      <c r="Q477" s="511"/>
      <c r="R477" s="511"/>
      <c r="S477" s="511"/>
      <c r="T477" s="639"/>
      <c r="U477" s="511"/>
      <c r="V477" s="511"/>
      <c r="W477" s="511"/>
      <c r="X477" s="511"/>
      <c r="Y477" s="380"/>
      <c r="Z477" s="380"/>
      <c r="AA477" s="380"/>
      <c r="AB477" s="380"/>
      <c r="AC477" s="380"/>
      <c r="AD477" s="671"/>
      <c r="AE477" s="380"/>
      <c r="AF477" s="380"/>
      <c r="AG477" s="380"/>
      <c r="AH477" s="671"/>
      <c r="AI477" s="380"/>
      <c r="AJ477" s="583"/>
      <c r="AK477" s="583"/>
      <c r="AL477" s="511"/>
      <c r="AM477" s="584"/>
      <c r="AN477" s="584"/>
      <c r="AO477" s="584"/>
      <c r="AP477" s="671"/>
      <c r="AQ477" s="584"/>
      <c r="AR477" s="583"/>
      <c r="AS477" s="583"/>
      <c r="AT477" s="585"/>
      <c r="AU477" s="585"/>
      <c r="AV477" s="585"/>
      <c r="AW477" s="585"/>
      <c r="AX477" s="673"/>
      <c r="AY477" s="380"/>
      <c r="AZ477" s="380"/>
      <c r="BA477" s="380"/>
      <c r="BB477" s="380"/>
      <c r="BC477" s="380"/>
      <c r="BD477" s="380"/>
      <c r="BE477" s="380"/>
      <c r="BF477" s="380"/>
      <c r="BG477" s="380"/>
      <c r="BH477" s="380"/>
      <c r="BI477" s="511"/>
      <c r="BJ477" s="380"/>
      <c r="BK477" s="380"/>
      <c r="BL477" s="380"/>
      <c r="BM477" s="380"/>
      <c r="BN477" s="380"/>
      <c r="BO477" s="380"/>
      <c r="BP477" s="380"/>
      <c r="BQ477" s="380"/>
      <c r="BR477" s="380"/>
    </row>
    <row r="478" spans="1:70" ht="12.75" customHeight="1" x14ac:dyDescent="0.25">
      <c r="A478" s="380"/>
      <c r="B478" s="380"/>
      <c r="C478" s="380"/>
      <c r="D478" s="380"/>
      <c r="E478" s="511"/>
      <c r="F478" s="511"/>
      <c r="G478" s="582"/>
      <c r="H478" s="511"/>
      <c r="I478" s="511"/>
      <c r="J478" s="582"/>
      <c r="K478" s="511"/>
      <c r="L478" s="511"/>
      <c r="M478" s="582"/>
      <c r="N478" s="582"/>
      <c r="O478" s="582"/>
      <c r="P478" s="582"/>
      <c r="Q478" s="511"/>
      <c r="R478" s="511"/>
      <c r="S478" s="511"/>
      <c r="T478" s="639"/>
      <c r="U478" s="511"/>
      <c r="V478" s="511"/>
      <c r="W478" s="511"/>
      <c r="X478" s="511"/>
      <c r="Y478" s="380"/>
      <c r="Z478" s="380"/>
      <c r="AA478" s="380"/>
      <c r="AB478" s="380"/>
      <c r="AC478" s="380"/>
      <c r="AD478" s="671"/>
      <c r="AE478" s="380"/>
      <c r="AF478" s="380"/>
      <c r="AG478" s="380"/>
      <c r="AH478" s="671"/>
      <c r="AI478" s="380"/>
      <c r="AJ478" s="583"/>
      <c r="AK478" s="583"/>
      <c r="AL478" s="511"/>
      <c r="AM478" s="584"/>
      <c r="AN478" s="584"/>
      <c r="AO478" s="584"/>
      <c r="AP478" s="671"/>
      <c r="AQ478" s="584"/>
      <c r="AR478" s="583"/>
      <c r="AS478" s="583"/>
      <c r="AT478" s="585"/>
      <c r="AU478" s="585"/>
      <c r="AV478" s="585"/>
      <c r="AW478" s="585"/>
      <c r="AX478" s="673"/>
      <c r="AY478" s="380"/>
      <c r="AZ478" s="380"/>
      <c r="BA478" s="380"/>
      <c r="BB478" s="380"/>
      <c r="BC478" s="380"/>
      <c r="BD478" s="380"/>
      <c r="BE478" s="380"/>
      <c r="BF478" s="380"/>
      <c r="BG478" s="380"/>
      <c r="BH478" s="380"/>
      <c r="BI478" s="511"/>
      <c r="BJ478" s="380"/>
      <c r="BK478" s="380"/>
      <c r="BL478" s="380"/>
      <c r="BM478" s="380"/>
      <c r="BN478" s="380"/>
      <c r="BO478" s="380"/>
      <c r="BP478" s="380"/>
      <c r="BQ478" s="380"/>
      <c r="BR478" s="380"/>
    </row>
    <row r="479" spans="1:70" ht="12.75" customHeight="1" x14ac:dyDescent="0.25">
      <c r="A479" s="380"/>
      <c r="B479" s="380"/>
      <c r="C479" s="380"/>
      <c r="D479" s="380"/>
      <c r="E479" s="511"/>
      <c r="F479" s="511"/>
      <c r="G479" s="582"/>
      <c r="H479" s="511"/>
      <c r="I479" s="511"/>
      <c r="J479" s="582"/>
      <c r="K479" s="511"/>
      <c r="L479" s="511"/>
      <c r="M479" s="582"/>
      <c r="N479" s="582"/>
      <c r="O479" s="582"/>
      <c r="P479" s="582"/>
      <c r="Q479" s="511"/>
      <c r="R479" s="511"/>
      <c r="S479" s="511"/>
      <c r="T479" s="639"/>
      <c r="U479" s="511"/>
      <c r="V479" s="511"/>
      <c r="W479" s="511"/>
      <c r="X479" s="511"/>
      <c r="Y479" s="380"/>
      <c r="Z479" s="380"/>
      <c r="AA479" s="380"/>
      <c r="AB479" s="380"/>
      <c r="AC479" s="380"/>
      <c r="AD479" s="671"/>
      <c r="AE479" s="380"/>
      <c r="AF479" s="380"/>
      <c r="AG479" s="380"/>
      <c r="AH479" s="671"/>
      <c r="AI479" s="380"/>
      <c r="AJ479" s="583"/>
      <c r="AK479" s="583"/>
      <c r="AL479" s="511"/>
      <c r="AM479" s="584"/>
      <c r="AN479" s="584"/>
      <c r="AO479" s="584"/>
      <c r="AP479" s="671"/>
      <c r="AQ479" s="584"/>
      <c r="AR479" s="583"/>
      <c r="AS479" s="583"/>
      <c r="AT479" s="585"/>
      <c r="AU479" s="585"/>
      <c r="AV479" s="585"/>
      <c r="AW479" s="585"/>
      <c r="AX479" s="673"/>
      <c r="AY479" s="380"/>
      <c r="AZ479" s="380"/>
      <c r="BA479" s="380"/>
      <c r="BB479" s="380"/>
      <c r="BC479" s="380"/>
      <c r="BD479" s="380"/>
      <c r="BE479" s="380"/>
      <c r="BF479" s="380"/>
      <c r="BG479" s="380"/>
      <c r="BH479" s="380"/>
      <c r="BI479" s="511"/>
      <c r="BJ479" s="380"/>
      <c r="BK479" s="380"/>
      <c r="BL479" s="380"/>
      <c r="BM479" s="380"/>
      <c r="BN479" s="380"/>
      <c r="BO479" s="380"/>
      <c r="BP479" s="380"/>
      <c r="BQ479" s="380"/>
      <c r="BR479" s="380"/>
    </row>
    <row r="480" spans="1:70" ht="12.75" customHeight="1" x14ac:dyDescent="0.25">
      <c r="A480" s="380"/>
      <c r="B480" s="380"/>
      <c r="C480" s="380"/>
      <c r="D480" s="380"/>
      <c r="E480" s="511"/>
      <c r="F480" s="511"/>
      <c r="G480" s="582"/>
      <c r="H480" s="511"/>
      <c r="I480" s="511"/>
      <c r="J480" s="582"/>
      <c r="K480" s="511"/>
      <c r="L480" s="511"/>
      <c r="M480" s="582"/>
      <c r="N480" s="582"/>
      <c r="O480" s="582"/>
      <c r="P480" s="582"/>
      <c r="Q480" s="511"/>
      <c r="R480" s="511"/>
      <c r="S480" s="511"/>
      <c r="T480" s="639"/>
      <c r="U480" s="511"/>
      <c r="V480" s="511"/>
      <c r="W480" s="511"/>
      <c r="X480" s="511"/>
      <c r="Y480" s="380"/>
      <c r="Z480" s="380"/>
      <c r="AA480" s="380"/>
      <c r="AB480" s="380"/>
      <c r="AC480" s="380"/>
      <c r="AD480" s="671"/>
      <c r="AE480" s="380"/>
      <c r="AF480" s="380"/>
      <c r="AG480" s="380"/>
      <c r="AH480" s="671"/>
      <c r="AI480" s="380"/>
      <c r="AJ480" s="583"/>
      <c r="AK480" s="583"/>
      <c r="AL480" s="511"/>
      <c r="AM480" s="584"/>
      <c r="AN480" s="584"/>
      <c r="AO480" s="584"/>
      <c r="AP480" s="671"/>
      <c r="AQ480" s="584"/>
      <c r="AR480" s="583"/>
      <c r="AS480" s="583"/>
      <c r="AT480" s="585"/>
      <c r="AU480" s="585"/>
      <c r="AV480" s="585"/>
      <c r="AW480" s="585"/>
      <c r="AX480" s="673"/>
      <c r="AY480" s="380"/>
      <c r="AZ480" s="380"/>
      <c r="BA480" s="380"/>
      <c r="BB480" s="380"/>
      <c r="BC480" s="380"/>
      <c r="BD480" s="380"/>
      <c r="BE480" s="380"/>
      <c r="BF480" s="380"/>
      <c r="BG480" s="380"/>
      <c r="BH480" s="380"/>
      <c r="BI480" s="511"/>
      <c r="BJ480" s="380"/>
      <c r="BK480" s="380"/>
      <c r="BL480" s="380"/>
      <c r="BM480" s="380"/>
      <c r="BN480" s="380"/>
      <c r="BO480" s="380"/>
      <c r="BP480" s="380"/>
      <c r="BQ480" s="380"/>
      <c r="BR480" s="380"/>
    </row>
    <row r="481" spans="1:70" ht="12.75" customHeight="1" x14ac:dyDescent="0.25">
      <c r="A481" s="380"/>
      <c r="B481" s="380"/>
      <c r="C481" s="380"/>
      <c r="D481" s="380"/>
      <c r="E481" s="511"/>
      <c r="F481" s="511"/>
      <c r="G481" s="582"/>
      <c r="H481" s="511"/>
      <c r="I481" s="511"/>
      <c r="J481" s="582"/>
      <c r="K481" s="511"/>
      <c r="L481" s="511"/>
      <c r="M481" s="582"/>
      <c r="N481" s="582"/>
      <c r="O481" s="582"/>
      <c r="P481" s="582"/>
      <c r="Q481" s="511"/>
      <c r="R481" s="511"/>
      <c r="S481" s="511"/>
      <c r="T481" s="639"/>
      <c r="U481" s="511"/>
      <c r="V481" s="511"/>
      <c r="W481" s="511"/>
      <c r="X481" s="511"/>
      <c r="Y481" s="380"/>
      <c r="Z481" s="380"/>
      <c r="AA481" s="380"/>
      <c r="AB481" s="380"/>
      <c r="AC481" s="380"/>
      <c r="AD481" s="671"/>
      <c r="AE481" s="380"/>
      <c r="AF481" s="380"/>
      <c r="AG481" s="380"/>
      <c r="AH481" s="671"/>
      <c r="AI481" s="380"/>
      <c r="AJ481" s="583"/>
      <c r="AK481" s="583"/>
      <c r="AL481" s="511"/>
      <c r="AM481" s="584"/>
      <c r="AN481" s="584"/>
      <c r="AO481" s="584"/>
      <c r="AP481" s="671"/>
      <c r="AQ481" s="584"/>
      <c r="AR481" s="583"/>
      <c r="AS481" s="583"/>
      <c r="AT481" s="585"/>
      <c r="AU481" s="585"/>
      <c r="AV481" s="585"/>
      <c r="AW481" s="585"/>
      <c r="AX481" s="673"/>
      <c r="AY481" s="380"/>
      <c r="AZ481" s="380"/>
      <c r="BA481" s="380"/>
      <c r="BB481" s="380"/>
      <c r="BC481" s="380"/>
      <c r="BD481" s="380"/>
      <c r="BE481" s="380"/>
      <c r="BF481" s="380"/>
      <c r="BG481" s="380"/>
      <c r="BH481" s="380"/>
      <c r="BI481" s="511"/>
      <c r="BJ481" s="380"/>
      <c r="BK481" s="380"/>
      <c r="BL481" s="380"/>
      <c r="BM481" s="380"/>
      <c r="BN481" s="380"/>
      <c r="BO481" s="380"/>
      <c r="BP481" s="380"/>
      <c r="BQ481" s="380"/>
      <c r="BR481" s="380"/>
    </row>
    <row r="482" spans="1:70" ht="12.75" customHeight="1" x14ac:dyDescent="0.25">
      <c r="A482" s="380"/>
      <c r="B482" s="380"/>
      <c r="C482" s="380"/>
      <c r="D482" s="380"/>
      <c r="E482" s="511"/>
      <c r="F482" s="511"/>
      <c r="G482" s="582"/>
      <c r="H482" s="511"/>
      <c r="I482" s="511"/>
      <c r="J482" s="582"/>
      <c r="K482" s="511"/>
      <c r="L482" s="511"/>
      <c r="M482" s="582"/>
      <c r="N482" s="582"/>
      <c r="O482" s="582"/>
      <c r="P482" s="582"/>
      <c r="Q482" s="511"/>
      <c r="R482" s="511"/>
      <c r="S482" s="511"/>
      <c r="T482" s="639"/>
      <c r="U482" s="511"/>
      <c r="V482" s="511"/>
      <c r="W482" s="511"/>
      <c r="X482" s="511"/>
      <c r="Y482" s="380"/>
      <c r="Z482" s="380"/>
      <c r="AA482" s="380"/>
      <c r="AB482" s="380"/>
      <c r="AC482" s="380"/>
      <c r="AD482" s="671"/>
      <c r="AE482" s="380"/>
      <c r="AF482" s="380"/>
      <c r="AG482" s="380"/>
      <c r="AH482" s="671"/>
      <c r="AI482" s="380"/>
      <c r="AJ482" s="583"/>
      <c r="AK482" s="583"/>
      <c r="AL482" s="511"/>
      <c r="AM482" s="584"/>
      <c r="AN482" s="584"/>
      <c r="AO482" s="584"/>
      <c r="AP482" s="671"/>
      <c r="AQ482" s="584"/>
      <c r="AR482" s="583"/>
      <c r="AS482" s="583"/>
      <c r="AT482" s="585"/>
      <c r="AU482" s="585"/>
      <c r="AV482" s="585"/>
      <c r="AW482" s="585"/>
      <c r="AX482" s="673"/>
      <c r="AY482" s="380"/>
      <c r="AZ482" s="380"/>
      <c r="BA482" s="380"/>
      <c r="BB482" s="380"/>
      <c r="BC482" s="380"/>
      <c r="BD482" s="380"/>
      <c r="BE482" s="380"/>
      <c r="BF482" s="380"/>
      <c r="BG482" s="380"/>
      <c r="BH482" s="380"/>
      <c r="BI482" s="511"/>
      <c r="BJ482" s="380"/>
      <c r="BK482" s="380"/>
      <c r="BL482" s="380"/>
      <c r="BM482" s="380"/>
      <c r="BN482" s="380"/>
      <c r="BO482" s="380"/>
      <c r="BP482" s="380"/>
      <c r="BQ482" s="380"/>
      <c r="BR482" s="380"/>
    </row>
    <row r="483" spans="1:70" ht="12.75" customHeight="1" x14ac:dyDescent="0.25">
      <c r="A483" s="380"/>
      <c r="B483" s="380"/>
      <c r="C483" s="380"/>
      <c r="D483" s="380"/>
      <c r="E483" s="511"/>
      <c r="F483" s="511"/>
      <c r="G483" s="582"/>
      <c r="H483" s="511"/>
      <c r="I483" s="511"/>
      <c r="J483" s="582"/>
      <c r="K483" s="511"/>
      <c r="L483" s="511"/>
      <c r="M483" s="582"/>
      <c r="N483" s="582"/>
      <c r="O483" s="582"/>
      <c r="P483" s="582"/>
      <c r="Q483" s="511"/>
      <c r="R483" s="511"/>
      <c r="S483" s="511"/>
      <c r="T483" s="639"/>
      <c r="U483" s="511"/>
      <c r="V483" s="511"/>
      <c r="W483" s="511"/>
      <c r="X483" s="511"/>
      <c r="Y483" s="380"/>
      <c r="Z483" s="380"/>
      <c r="AA483" s="380"/>
      <c r="AB483" s="380"/>
      <c r="AC483" s="380"/>
      <c r="AD483" s="671"/>
      <c r="AE483" s="380"/>
      <c r="AF483" s="380"/>
      <c r="AG483" s="380"/>
      <c r="AH483" s="671"/>
      <c r="AI483" s="380"/>
      <c r="AJ483" s="583"/>
      <c r="AK483" s="583"/>
      <c r="AL483" s="511"/>
      <c r="AM483" s="584"/>
      <c r="AN483" s="584"/>
      <c r="AO483" s="584"/>
      <c r="AP483" s="671"/>
      <c r="AQ483" s="584"/>
      <c r="AR483" s="583"/>
      <c r="AS483" s="583"/>
      <c r="AT483" s="585"/>
      <c r="AU483" s="585"/>
      <c r="AV483" s="585"/>
      <c r="AW483" s="585"/>
      <c r="AX483" s="673"/>
      <c r="AY483" s="380"/>
      <c r="AZ483" s="380"/>
      <c r="BA483" s="380"/>
      <c r="BB483" s="380"/>
      <c r="BC483" s="380"/>
      <c r="BD483" s="380"/>
      <c r="BE483" s="380"/>
      <c r="BF483" s="380"/>
      <c r="BG483" s="380"/>
      <c r="BH483" s="380"/>
      <c r="BI483" s="511"/>
      <c r="BJ483" s="380"/>
      <c r="BK483" s="380"/>
      <c r="BL483" s="380"/>
      <c r="BM483" s="380"/>
      <c r="BN483" s="380"/>
      <c r="BO483" s="380"/>
      <c r="BP483" s="380"/>
      <c r="BQ483" s="380"/>
      <c r="BR483" s="380"/>
    </row>
    <row r="484" spans="1:70" ht="12.75" customHeight="1" x14ac:dyDescent="0.25">
      <c r="A484" s="380"/>
      <c r="B484" s="380"/>
      <c r="C484" s="380"/>
      <c r="D484" s="380"/>
      <c r="E484" s="511"/>
      <c r="F484" s="511"/>
      <c r="G484" s="582"/>
      <c r="H484" s="511"/>
      <c r="I484" s="511"/>
      <c r="J484" s="582"/>
      <c r="K484" s="511"/>
      <c r="L484" s="511"/>
      <c r="M484" s="582"/>
      <c r="N484" s="582"/>
      <c r="O484" s="582"/>
      <c r="P484" s="582"/>
      <c r="Q484" s="511"/>
      <c r="R484" s="511"/>
      <c r="S484" s="511"/>
      <c r="T484" s="639"/>
      <c r="U484" s="511"/>
      <c r="V484" s="511"/>
      <c r="W484" s="511"/>
      <c r="X484" s="511"/>
      <c r="Y484" s="380"/>
      <c r="Z484" s="380"/>
      <c r="AA484" s="380"/>
      <c r="AB484" s="380"/>
      <c r="AC484" s="380"/>
      <c r="AD484" s="671"/>
      <c r="AE484" s="380"/>
      <c r="AF484" s="380"/>
      <c r="AG484" s="380"/>
      <c r="AH484" s="671"/>
      <c r="AI484" s="380"/>
      <c r="AJ484" s="583"/>
      <c r="AK484" s="583"/>
      <c r="AL484" s="511"/>
      <c r="AM484" s="584"/>
      <c r="AN484" s="584"/>
      <c r="AO484" s="584"/>
      <c r="AP484" s="671"/>
      <c r="AQ484" s="584"/>
      <c r="AR484" s="583"/>
      <c r="AS484" s="583"/>
      <c r="AT484" s="585"/>
      <c r="AU484" s="585"/>
      <c r="AV484" s="585"/>
      <c r="AW484" s="585"/>
      <c r="AX484" s="673"/>
      <c r="AY484" s="380"/>
      <c r="AZ484" s="380"/>
      <c r="BA484" s="380"/>
      <c r="BB484" s="380"/>
      <c r="BC484" s="380"/>
      <c r="BD484" s="380"/>
      <c r="BE484" s="380"/>
      <c r="BF484" s="380"/>
      <c r="BG484" s="380"/>
      <c r="BH484" s="380"/>
      <c r="BI484" s="511"/>
      <c r="BJ484" s="380"/>
      <c r="BK484" s="380"/>
      <c r="BL484" s="380"/>
      <c r="BM484" s="380"/>
      <c r="BN484" s="380"/>
      <c r="BO484" s="380"/>
      <c r="BP484" s="380"/>
      <c r="BQ484" s="380"/>
      <c r="BR484" s="380"/>
    </row>
    <row r="485" spans="1:70" ht="12.75" customHeight="1" x14ac:dyDescent="0.25">
      <c r="A485" s="380"/>
      <c r="B485" s="380"/>
      <c r="C485" s="380"/>
      <c r="D485" s="380"/>
      <c r="E485" s="511"/>
      <c r="F485" s="511"/>
      <c r="G485" s="582"/>
      <c r="H485" s="511"/>
      <c r="I485" s="511"/>
      <c r="J485" s="582"/>
      <c r="K485" s="511"/>
      <c r="L485" s="511"/>
      <c r="M485" s="582"/>
      <c r="N485" s="582"/>
      <c r="O485" s="582"/>
      <c r="P485" s="582"/>
      <c r="Q485" s="511"/>
      <c r="R485" s="511"/>
      <c r="S485" s="511"/>
      <c r="T485" s="639"/>
      <c r="U485" s="511"/>
      <c r="V485" s="511"/>
      <c r="W485" s="511"/>
      <c r="X485" s="511"/>
      <c r="Y485" s="380"/>
      <c r="Z485" s="380"/>
      <c r="AA485" s="380"/>
      <c r="AB485" s="380"/>
      <c r="AC485" s="380"/>
      <c r="AD485" s="671"/>
      <c r="AE485" s="380"/>
      <c r="AF485" s="380"/>
      <c r="AG485" s="380"/>
      <c r="AH485" s="671"/>
      <c r="AI485" s="380"/>
      <c r="AJ485" s="583"/>
      <c r="AK485" s="583"/>
      <c r="AL485" s="511"/>
      <c r="AM485" s="584"/>
      <c r="AN485" s="584"/>
      <c r="AO485" s="584"/>
      <c r="AP485" s="671"/>
      <c r="AQ485" s="584"/>
      <c r="AR485" s="583"/>
      <c r="AS485" s="583"/>
      <c r="AT485" s="585"/>
      <c r="AU485" s="585"/>
      <c r="AV485" s="585"/>
      <c r="AW485" s="585"/>
      <c r="AX485" s="673"/>
      <c r="AY485" s="380"/>
      <c r="AZ485" s="380"/>
      <c r="BA485" s="380"/>
      <c r="BB485" s="380"/>
      <c r="BC485" s="380"/>
      <c r="BD485" s="380"/>
      <c r="BE485" s="380"/>
      <c r="BF485" s="380"/>
      <c r="BG485" s="380"/>
      <c r="BH485" s="380"/>
      <c r="BI485" s="511"/>
      <c r="BJ485" s="380"/>
      <c r="BK485" s="380"/>
      <c r="BL485" s="380"/>
      <c r="BM485" s="380"/>
      <c r="BN485" s="380"/>
      <c r="BO485" s="380"/>
      <c r="BP485" s="380"/>
      <c r="BQ485" s="380"/>
      <c r="BR485" s="380"/>
    </row>
    <row r="486" spans="1:70" ht="12.75" customHeight="1" x14ac:dyDescent="0.25">
      <c r="A486" s="380"/>
      <c r="B486" s="380"/>
      <c r="C486" s="380"/>
      <c r="D486" s="380"/>
      <c r="E486" s="511"/>
      <c r="F486" s="511"/>
      <c r="G486" s="582"/>
      <c r="H486" s="511"/>
      <c r="I486" s="511"/>
      <c r="J486" s="582"/>
      <c r="K486" s="511"/>
      <c r="L486" s="511"/>
      <c r="M486" s="582"/>
      <c r="N486" s="582"/>
      <c r="O486" s="582"/>
      <c r="P486" s="582"/>
      <c r="Q486" s="511"/>
      <c r="R486" s="511"/>
      <c r="S486" s="511"/>
      <c r="T486" s="639"/>
      <c r="U486" s="511"/>
      <c r="V486" s="511"/>
      <c r="W486" s="511"/>
      <c r="X486" s="511"/>
      <c r="Y486" s="380"/>
      <c r="Z486" s="380"/>
      <c r="AA486" s="380"/>
      <c r="AB486" s="380"/>
      <c r="AC486" s="380"/>
      <c r="AD486" s="671"/>
      <c r="AE486" s="380"/>
      <c r="AF486" s="380"/>
      <c r="AG486" s="380"/>
      <c r="AH486" s="671"/>
      <c r="AI486" s="380"/>
      <c r="AJ486" s="583"/>
      <c r="AK486" s="583"/>
      <c r="AL486" s="511"/>
      <c r="AM486" s="584"/>
      <c r="AN486" s="584"/>
      <c r="AO486" s="584"/>
      <c r="AP486" s="671"/>
      <c r="AQ486" s="584"/>
      <c r="AR486" s="583"/>
      <c r="AS486" s="583"/>
      <c r="AT486" s="585"/>
      <c r="AU486" s="585"/>
      <c r="AV486" s="585"/>
      <c r="AW486" s="585"/>
      <c r="AX486" s="673"/>
      <c r="AY486" s="380"/>
      <c r="AZ486" s="380"/>
      <c r="BA486" s="380"/>
      <c r="BB486" s="380"/>
      <c r="BC486" s="380"/>
      <c r="BD486" s="380"/>
      <c r="BE486" s="380"/>
      <c r="BF486" s="380"/>
      <c r="BG486" s="380"/>
      <c r="BH486" s="380"/>
      <c r="BI486" s="511"/>
      <c r="BJ486" s="380"/>
      <c r="BK486" s="380"/>
      <c r="BL486" s="380"/>
      <c r="BM486" s="380"/>
      <c r="BN486" s="380"/>
      <c r="BO486" s="380"/>
      <c r="BP486" s="380"/>
      <c r="BQ486" s="380"/>
      <c r="BR486" s="380"/>
    </row>
    <row r="487" spans="1:70" ht="12.75" customHeight="1" x14ac:dyDescent="0.25">
      <c r="A487" s="380"/>
      <c r="B487" s="380"/>
      <c r="C487" s="380"/>
      <c r="D487" s="380"/>
      <c r="E487" s="511"/>
      <c r="F487" s="511"/>
      <c r="G487" s="582"/>
      <c r="H487" s="511"/>
      <c r="I487" s="511"/>
      <c r="J487" s="582"/>
      <c r="K487" s="511"/>
      <c r="L487" s="511"/>
      <c r="M487" s="582"/>
      <c r="N487" s="582"/>
      <c r="O487" s="582"/>
      <c r="P487" s="582"/>
      <c r="Q487" s="511"/>
      <c r="R487" s="511"/>
      <c r="S487" s="511"/>
      <c r="T487" s="639"/>
      <c r="U487" s="511"/>
      <c r="V487" s="511"/>
      <c r="W487" s="511"/>
      <c r="X487" s="511"/>
      <c r="Y487" s="380"/>
      <c r="Z487" s="380"/>
      <c r="AA487" s="380"/>
      <c r="AB487" s="380"/>
      <c r="AC487" s="380"/>
      <c r="AD487" s="671"/>
      <c r="AE487" s="380"/>
      <c r="AF487" s="380"/>
      <c r="AG487" s="380"/>
      <c r="AH487" s="671"/>
      <c r="AI487" s="380"/>
      <c r="AJ487" s="583"/>
      <c r="AK487" s="583"/>
      <c r="AL487" s="511"/>
      <c r="AM487" s="584"/>
      <c r="AN487" s="584"/>
      <c r="AO487" s="584"/>
      <c r="AP487" s="671"/>
      <c r="AQ487" s="584"/>
      <c r="AR487" s="583"/>
      <c r="AS487" s="583"/>
      <c r="AT487" s="585"/>
      <c r="AU487" s="585"/>
      <c r="AV487" s="585"/>
      <c r="AW487" s="585"/>
      <c r="AX487" s="673"/>
      <c r="AY487" s="380"/>
      <c r="AZ487" s="380"/>
      <c r="BA487" s="380"/>
      <c r="BB487" s="380"/>
      <c r="BC487" s="380"/>
      <c r="BD487" s="380"/>
      <c r="BE487" s="380"/>
      <c r="BF487" s="380"/>
      <c r="BG487" s="380"/>
      <c r="BH487" s="380"/>
      <c r="BI487" s="511"/>
      <c r="BJ487" s="380"/>
      <c r="BK487" s="380"/>
      <c r="BL487" s="380"/>
      <c r="BM487" s="380"/>
      <c r="BN487" s="380"/>
      <c r="BO487" s="380"/>
      <c r="BP487" s="380"/>
      <c r="BQ487" s="380"/>
      <c r="BR487" s="380"/>
    </row>
    <row r="488" spans="1:70" ht="12.75" customHeight="1" x14ac:dyDescent="0.25">
      <c r="A488" s="380"/>
      <c r="B488" s="380"/>
      <c r="C488" s="380"/>
      <c r="D488" s="380"/>
      <c r="E488" s="511"/>
      <c r="F488" s="511"/>
      <c r="G488" s="582"/>
      <c r="H488" s="511"/>
      <c r="I488" s="511"/>
      <c r="J488" s="582"/>
      <c r="K488" s="511"/>
      <c r="L488" s="511"/>
      <c r="M488" s="582"/>
      <c r="N488" s="582"/>
      <c r="O488" s="582"/>
      <c r="P488" s="582"/>
      <c r="Q488" s="511"/>
      <c r="R488" s="511"/>
      <c r="S488" s="511"/>
      <c r="T488" s="639"/>
      <c r="U488" s="511"/>
      <c r="V488" s="511"/>
      <c r="W488" s="511"/>
      <c r="X488" s="511"/>
      <c r="Y488" s="380"/>
      <c r="Z488" s="380"/>
      <c r="AA488" s="380"/>
      <c r="AB488" s="380"/>
      <c r="AC488" s="380"/>
      <c r="AD488" s="671"/>
      <c r="AE488" s="380"/>
      <c r="AF488" s="380"/>
      <c r="AG488" s="380"/>
      <c r="AH488" s="671"/>
      <c r="AI488" s="380"/>
      <c r="AJ488" s="583"/>
      <c r="AK488" s="583"/>
      <c r="AL488" s="511"/>
      <c r="AM488" s="584"/>
      <c r="AN488" s="584"/>
      <c r="AO488" s="584"/>
      <c r="AP488" s="671"/>
      <c r="AQ488" s="584"/>
      <c r="AR488" s="583"/>
      <c r="AS488" s="583"/>
      <c r="AT488" s="585"/>
      <c r="AU488" s="585"/>
      <c r="AV488" s="585"/>
      <c r="AW488" s="585"/>
      <c r="AX488" s="673"/>
      <c r="AY488" s="380"/>
      <c r="AZ488" s="380"/>
      <c r="BA488" s="380"/>
      <c r="BB488" s="380"/>
      <c r="BC488" s="380"/>
      <c r="BD488" s="380"/>
      <c r="BE488" s="380"/>
      <c r="BF488" s="380"/>
      <c r="BG488" s="380"/>
      <c r="BH488" s="380"/>
      <c r="BI488" s="511"/>
      <c r="BJ488" s="380"/>
      <c r="BK488" s="380"/>
      <c r="BL488" s="380"/>
      <c r="BM488" s="380"/>
      <c r="BN488" s="380"/>
      <c r="BO488" s="380"/>
      <c r="BP488" s="380"/>
      <c r="BQ488" s="380"/>
      <c r="BR488" s="380"/>
    </row>
    <row r="489" spans="1:70" ht="12.75" customHeight="1" x14ac:dyDescent="0.25">
      <c r="A489" s="380"/>
      <c r="B489" s="380"/>
      <c r="C489" s="380"/>
      <c r="D489" s="380"/>
      <c r="E489" s="511"/>
      <c r="F489" s="511"/>
      <c r="G489" s="582"/>
      <c r="H489" s="511"/>
      <c r="I489" s="511"/>
      <c r="J489" s="582"/>
      <c r="K489" s="511"/>
      <c r="L489" s="511"/>
      <c r="M489" s="582"/>
      <c r="N489" s="582"/>
      <c r="O489" s="582"/>
      <c r="P489" s="582"/>
      <c r="Q489" s="511"/>
      <c r="R489" s="511"/>
      <c r="S489" s="511"/>
      <c r="T489" s="639"/>
      <c r="U489" s="511"/>
      <c r="V489" s="511"/>
      <c r="W489" s="511"/>
      <c r="X489" s="511"/>
      <c r="Y489" s="380"/>
      <c r="Z489" s="380"/>
      <c r="AA489" s="380"/>
      <c r="AB489" s="380"/>
      <c r="AC489" s="380"/>
      <c r="AD489" s="671"/>
      <c r="AE489" s="380"/>
      <c r="AF489" s="380"/>
      <c r="AG489" s="380"/>
      <c r="AH489" s="671"/>
      <c r="AI489" s="380"/>
      <c r="AJ489" s="583"/>
      <c r="AK489" s="583"/>
      <c r="AL489" s="511"/>
      <c r="AM489" s="584"/>
      <c r="AN489" s="584"/>
      <c r="AO489" s="584"/>
      <c r="AP489" s="671"/>
      <c r="AQ489" s="584"/>
      <c r="AR489" s="583"/>
      <c r="AS489" s="583"/>
      <c r="AT489" s="585"/>
      <c r="AU489" s="585"/>
      <c r="AV489" s="585"/>
      <c r="AW489" s="585"/>
      <c r="AX489" s="673"/>
      <c r="AY489" s="380"/>
      <c r="AZ489" s="380"/>
      <c r="BA489" s="380"/>
      <c r="BB489" s="380"/>
      <c r="BC489" s="380"/>
      <c r="BD489" s="380"/>
      <c r="BE489" s="380"/>
      <c r="BF489" s="380"/>
      <c r="BG489" s="380"/>
      <c r="BH489" s="380"/>
      <c r="BI489" s="511"/>
      <c r="BJ489" s="380"/>
      <c r="BK489" s="380"/>
      <c r="BL489" s="380"/>
      <c r="BM489" s="380"/>
      <c r="BN489" s="380"/>
      <c r="BO489" s="380"/>
      <c r="BP489" s="380"/>
      <c r="BQ489" s="380"/>
      <c r="BR489" s="380"/>
    </row>
    <row r="490" spans="1:70" ht="12.75" customHeight="1" x14ac:dyDescent="0.25">
      <c r="A490" s="380"/>
      <c r="B490" s="380"/>
      <c r="C490" s="380"/>
      <c r="D490" s="380"/>
      <c r="E490" s="511"/>
      <c r="F490" s="511"/>
      <c r="G490" s="582"/>
      <c r="H490" s="511"/>
      <c r="I490" s="511"/>
      <c r="J490" s="582"/>
      <c r="K490" s="511"/>
      <c r="L490" s="511"/>
      <c r="M490" s="582"/>
      <c r="N490" s="582"/>
      <c r="O490" s="582"/>
      <c r="P490" s="582"/>
      <c r="Q490" s="511"/>
      <c r="R490" s="511"/>
      <c r="S490" s="511"/>
      <c r="T490" s="639"/>
      <c r="U490" s="511"/>
      <c r="V490" s="511"/>
      <c r="W490" s="511"/>
      <c r="X490" s="511"/>
      <c r="Y490" s="380"/>
      <c r="Z490" s="380"/>
      <c r="AA490" s="380"/>
      <c r="AB490" s="380"/>
      <c r="AC490" s="380"/>
      <c r="AD490" s="671"/>
      <c r="AE490" s="380"/>
      <c r="AF490" s="380"/>
      <c r="AG490" s="380"/>
      <c r="AH490" s="671"/>
      <c r="AI490" s="380"/>
      <c r="AJ490" s="583"/>
      <c r="AK490" s="583"/>
      <c r="AL490" s="511"/>
      <c r="AM490" s="584"/>
      <c r="AN490" s="584"/>
      <c r="AO490" s="584"/>
      <c r="AP490" s="671"/>
      <c r="AQ490" s="584"/>
      <c r="AR490" s="583"/>
      <c r="AS490" s="583"/>
      <c r="AT490" s="585"/>
      <c r="AU490" s="585"/>
      <c r="AV490" s="585"/>
      <c r="AW490" s="585"/>
      <c r="AX490" s="673"/>
      <c r="AY490" s="380"/>
      <c r="AZ490" s="380"/>
      <c r="BA490" s="380"/>
      <c r="BB490" s="380"/>
      <c r="BC490" s="380"/>
      <c r="BD490" s="380"/>
      <c r="BE490" s="380"/>
      <c r="BF490" s="380"/>
      <c r="BG490" s="380"/>
      <c r="BH490" s="380"/>
      <c r="BI490" s="511"/>
      <c r="BJ490" s="380"/>
      <c r="BK490" s="380"/>
      <c r="BL490" s="380"/>
      <c r="BM490" s="380"/>
      <c r="BN490" s="380"/>
      <c r="BO490" s="380"/>
      <c r="BP490" s="380"/>
      <c r="BQ490" s="380"/>
      <c r="BR490" s="380"/>
    </row>
    <row r="491" spans="1:70" ht="12.75" customHeight="1" x14ac:dyDescent="0.25">
      <c r="A491" s="380"/>
      <c r="B491" s="380"/>
      <c r="C491" s="380"/>
      <c r="D491" s="380"/>
      <c r="E491" s="511"/>
      <c r="F491" s="511"/>
      <c r="G491" s="582"/>
      <c r="H491" s="511"/>
      <c r="I491" s="511"/>
      <c r="J491" s="582"/>
      <c r="K491" s="511"/>
      <c r="L491" s="511"/>
      <c r="M491" s="582"/>
      <c r="N491" s="582"/>
      <c r="O491" s="582"/>
      <c r="P491" s="582"/>
      <c r="Q491" s="511"/>
      <c r="R491" s="511"/>
      <c r="S491" s="511"/>
      <c r="T491" s="639"/>
      <c r="U491" s="511"/>
      <c r="V491" s="511"/>
      <c r="W491" s="511"/>
      <c r="X491" s="511"/>
      <c r="Y491" s="380"/>
      <c r="Z491" s="380"/>
      <c r="AA491" s="380"/>
      <c r="AB491" s="380"/>
      <c r="AC491" s="380"/>
      <c r="AD491" s="671"/>
      <c r="AE491" s="380"/>
      <c r="AF491" s="380"/>
      <c r="AG491" s="380"/>
      <c r="AH491" s="671"/>
      <c r="AI491" s="380"/>
      <c r="AJ491" s="583"/>
      <c r="AK491" s="583"/>
      <c r="AL491" s="511"/>
      <c r="AM491" s="584"/>
      <c r="AN491" s="584"/>
      <c r="AO491" s="584"/>
      <c r="AP491" s="671"/>
      <c r="AQ491" s="584"/>
      <c r="AR491" s="583"/>
      <c r="AS491" s="583"/>
      <c r="AT491" s="585"/>
      <c r="AU491" s="585"/>
      <c r="AV491" s="585"/>
      <c r="AW491" s="585"/>
      <c r="AX491" s="673"/>
      <c r="AY491" s="380"/>
      <c r="AZ491" s="380"/>
      <c r="BA491" s="380"/>
      <c r="BB491" s="380"/>
      <c r="BC491" s="380"/>
      <c r="BD491" s="380"/>
      <c r="BE491" s="380"/>
      <c r="BF491" s="380"/>
      <c r="BG491" s="380"/>
      <c r="BH491" s="380"/>
      <c r="BI491" s="511"/>
      <c r="BJ491" s="380"/>
      <c r="BK491" s="380"/>
      <c r="BL491" s="380"/>
      <c r="BM491" s="380"/>
      <c r="BN491" s="380"/>
      <c r="BO491" s="380"/>
      <c r="BP491" s="380"/>
      <c r="BQ491" s="380"/>
      <c r="BR491" s="380"/>
    </row>
    <row r="492" spans="1:70" ht="12.75" customHeight="1" x14ac:dyDescent="0.25">
      <c r="A492" s="380"/>
      <c r="B492" s="380"/>
      <c r="C492" s="380"/>
      <c r="D492" s="380"/>
      <c r="E492" s="511"/>
      <c r="F492" s="511"/>
      <c r="G492" s="582"/>
      <c r="H492" s="511"/>
      <c r="I492" s="511"/>
      <c r="J492" s="582"/>
      <c r="K492" s="511"/>
      <c r="L492" s="511"/>
      <c r="M492" s="582"/>
      <c r="N492" s="582"/>
      <c r="O492" s="582"/>
      <c r="P492" s="582"/>
      <c r="Q492" s="511"/>
      <c r="R492" s="511"/>
      <c r="S492" s="511"/>
      <c r="T492" s="639"/>
      <c r="U492" s="511"/>
      <c r="V492" s="511"/>
      <c r="W492" s="511"/>
      <c r="X492" s="511"/>
      <c r="Y492" s="380"/>
      <c r="Z492" s="380"/>
      <c r="AA492" s="380"/>
      <c r="AB492" s="380"/>
      <c r="AC492" s="380"/>
      <c r="AD492" s="671"/>
      <c r="AE492" s="380"/>
      <c r="AF492" s="380"/>
      <c r="AG492" s="380"/>
      <c r="AH492" s="671"/>
      <c r="AI492" s="380"/>
      <c r="AJ492" s="583"/>
      <c r="AK492" s="583"/>
      <c r="AL492" s="511"/>
      <c r="AM492" s="584"/>
      <c r="AN492" s="584"/>
      <c r="AO492" s="584"/>
      <c r="AP492" s="671"/>
      <c r="AQ492" s="584"/>
      <c r="AR492" s="583"/>
      <c r="AS492" s="583"/>
      <c r="AT492" s="585"/>
      <c r="AU492" s="585"/>
      <c r="AV492" s="585"/>
      <c r="AW492" s="585"/>
      <c r="AX492" s="673"/>
      <c r="AY492" s="380"/>
      <c r="AZ492" s="380"/>
      <c r="BA492" s="380"/>
      <c r="BB492" s="380"/>
      <c r="BC492" s="380"/>
      <c r="BD492" s="380"/>
      <c r="BE492" s="380"/>
      <c r="BF492" s="380"/>
      <c r="BG492" s="380"/>
      <c r="BH492" s="380"/>
      <c r="BI492" s="511"/>
      <c r="BJ492" s="380"/>
      <c r="BK492" s="380"/>
      <c r="BL492" s="380"/>
      <c r="BM492" s="380"/>
      <c r="BN492" s="380"/>
      <c r="BO492" s="380"/>
      <c r="BP492" s="380"/>
      <c r="BQ492" s="380"/>
      <c r="BR492" s="380"/>
    </row>
    <row r="493" spans="1:70" ht="12.75" customHeight="1" x14ac:dyDescent="0.25">
      <c r="A493" s="380"/>
      <c r="B493" s="380"/>
      <c r="C493" s="380"/>
      <c r="D493" s="380"/>
      <c r="E493" s="511"/>
      <c r="F493" s="511"/>
      <c r="G493" s="582"/>
      <c r="H493" s="511"/>
      <c r="I493" s="511"/>
      <c r="J493" s="582"/>
      <c r="K493" s="511"/>
      <c r="L493" s="511"/>
      <c r="M493" s="582"/>
      <c r="N493" s="582"/>
      <c r="O493" s="582"/>
      <c r="P493" s="582"/>
      <c r="Q493" s="511"/>
      <c r="R493" s="511"/>
      <c r="S493" s="511"/>
      <c r="T493" s="639"/>
      <c r="U493" s="511"/>
      <c r="V493" s="511"/>
      <c r="W493" s="511"/>
      <c r="X493" s="511"/>
      <c r="Y493" s="380"/>
      <c r="Z493" s="380"/>
      <c r="AA493" s="380"/>
      <c r="AB493" s="380"/>
      <c r="AC493" s="380"/>
      <c r="AD493" s="671"/>
      <c r="AE493" s="380"/>
      <c r="AF493" s="380"/>
      <c r="AG493" s="380"/>
      <c r="AH493" s="671"/>
      <c r="AI493" s="380"/>
      <c r="AJ493" s="583"/>
      <c r="AK493" s="583"/>
      <c r="AL493" s="511"/>
      <c r="AM493" s="584"/>
      <c r="AN493" s="584"/>
      <c r="AO493" s="584"/>
      <c r="AP493" s="671"/>
      <c r="AQ493" s="584"/>
      <c r="AR493" s="583"/>
      <c r="AS493" s="583"/>
      <c r="AT493" s="585"/>
      <c r="AU493" s="585"/>
      <c r="AV493" s="585"/>
      <c r="AW493" s="585"/>
      <c r="AX493" s="673"/>
      <c r="AY493" s="380"/>
      <c r="AZ493" s="380"/>
      <c r="BA493" s="380"/>
      <c r="BB493" s="380"/>
      <c r="BC493" s="380"/>
      <c r="BD493" s="380"/>
      <c r="BE493" s="380"/>
      <c r="BF493" s="380"/>
      <c r="BG493" s="380"/>
      <c r="BH493" s="380"/>
      <c r="BI493" s="511"/>
      <c r="BJ493" s="380"/>
      <c r="BK493" s="380"/>
      <c r="BL493" s="380"/>
      <c r="BM493" s="380"/>
      <c r="BN493" s="380"/>
      <c r="BO493" s="380"/>
      <c r="BP493" s="380"/>
      <c r="BQ493" s="380"/>
      <c r="BR493" s="380"/>
    </row>
    <row r="494" spans="1:70" ht="12.75" customHeight="1" x14ac:dyDescent="0.25">
      <c r="A494" s="380"/>
      <c r="B494" s="380"/>
      <c r="C494" s="380"/>
      <c r="D494" s="380"/>
      <c r="E494" s="511"/>
      <c r="F494" s="511"/>
      <c r="G494" s="582"/>
      <c r="H494" s="511"/>
      <c r="I494" s="511"/>
      <c r="J494" s="582"/>
      <c r="K494" s="511"/>
      <c r="L494" s="511"/>
      <c r="M494" s="582"/>
      <c r="N494" s="582"/>
      <c r="O494" s="582"/>
      <c r="P494" s="582"/>
      <c r="Q494" s="511"/>
      <c r="R494" s="511"/>
      <c r="S494" s="511"/>
      <c r="T494" s="639"/>
      <c r="U494" s="511"/>
      <c r="V494" s="511"/>
      <c r="W494" s="511"/>
      <c r="X494" s="511"/>
      <c r="Y494" s="380"/>
      <c r="Z494" s="380"/>
      <c r="AA494" s="380"/>
      <c r="AB494" s="380"/>
      <c r="AC494" s="380"/>
      <c r="AD494" s="671"/>
      <c r="AE494" s="380"/>
      <c r="AF494" s="380"/>
      <c r="AG494" s="380"/>
      <c r="AH494" s="671"/>
      <c r="AI494" s="380"/>
      <c r="AJ494" s="583"/>
      <c r="AK494" s="583"/>
      <c r="AL494" s="511"/>
      <c r="AM494" s="584"/>
      <c r="AN494" s="584"/>
      <c r="AO494" s="584"/>
      <c r="AP494" s="671"/>
      <c r="AQ494" s="584"/>
      <c r="AR494" s="583"/>
      <c r="AS494" s="583"/>
      <c r="AT494" s="585"/>
      <c r="AU494" s="585"/>
      <c r="AV494" s="585"/>
      <c r="AW494" s="585"/>
      <c r="AX494" s="673"/>
      <c r="AY494" s="380"/>
      <c r="AZ494" s="380"/>
      <c r="BA494" s="380"/>
      <c r="BB494" s="380"/>
      <c r="BC494" s="380"/>
      <c r="BD494" s="380"/>
      <c r="BE494" s="380"/>
      <c r="BF494" s="380"/>
      <c r="BG494" s="380"/>
      <c r="BH494" s="380"/>
      <c r="BI494" s="511"/>
      <c r="BJ494" s="380"/>
      <c r="BK494" s="380"/>
      <c r="BL494" s="380"/>
      <c r="BM494" s="380"/>
      <c r="BN494" s="380"/>
      <c r="BO494" s="380"/>
      <c r="BP494" s="380"/>
      <c r="BQ494" s="380"/>
      <c r="BR494" s="380"/>
    </row>
    <row r="495" spans="1:70" ht="12.75" customHeight="1" x14ac:dyDescent="0.25">
      <c r="A495" s="380"/>
      <c r="B495" s="380"/>
      <c r="C495" s="380"/>
      <c r="D495" s="380"/>
      <c r="E495" s="511"/>
      <c r="F495" s="511"/>
      <c r="G495" s="582"/>
      <c r="H495" s="511"/>
      <c r="I495" s="511"/>
      <c r="J495" s="582"/>
      <c r="K495" s="511"/>
      <c r="L495" s="511"/>
      <c r="M495" s="582"/>
      <c r="N495" s="582"/>
      <c r="O495" s="582"/>
      <c r="P495" s="582"/>
      <c r="Q495" s="511"/>
      <c r="R495" s="511"/>
      <c r="S495" s="511"/>
      <c r="T495" s="639"/>
      <c r="U495" s="511"/>
      <c r="V495" s="511"/>
      <c r="W495" s="511"/>
      <c r="X495" s="511"/>
      <c r="Y495" s="380"/>
      <c r="Z495" s="380"/>
      <c r="AA495" s="380"/>
      <c r="AB495" s="380"/>
      <c r="AC495" s="380"/>
      <c r="AD495" s="671"/>
      <c r="AE495" s="380"/>
      <c r="AF495" s="380"/>
      <c r="AG495" s="380"/>
      <c r="AH495" s="671"/>
      <c r="AI495" s="380"/>
      <c r="AJ495" s="583"/>
      <c r="AK495" s="583"/>
      <c r="AL495" s="511"/>
      <c r="AM495" s="584"/>
      <c r="AN495" s="584"/>
      <c r="AO495" s="584"/>
      <c r="AP495" s="671"/>
      <c r="AQ495" s="584"/>
      <c r="AR495" s="583"/>
      <c r="AS495" s="583"/>
      <c r="AT495" s="585"/>
      <c r="AU495" s="585"/>
      <c r="AV495" s="585"/>
      <c r="AW495" s="585"/>
      <c r="AX495" s="673"/>
      <c r="AY495" s="380"/>
      <c r="AZ495" s="380"/>
      <c r="BA495" s="380"/>
      <c r="BB495" s="380"/>
      <c r="BC495" s="380"/>
      <c r="BD495" s="380"/>
      <c r="BE495" s="380"/>
      <c r="BF495" s="380"/>
      <c r="BG495" s="380"/>
      <c r="BH495" s="380"/>
      <c r="BI495" s="511"/>
      <c r="BJ495" s="380"/>
      <c r="BK495" s="380"/>
      <c r="BL495" s="380"/>
      <c r="BM495" s="380"/>
      <c r="BN495" s="380"/>
      <c r="BO495" s="380"/>
      <c r="BP495" s="380"/>
      <c r="BQ495" s="380"/>
      <c r="BR495" s="380"/>
    </row>
    <row r="496" spans="1:70" ht="12.75" customHeight="1" x14ac:dyDescent="0.25">
      <c r="A496" s="380"/>
      <c r="B496" s="380"/>
      <c r="C496" s="380"/>
      <c r="D496" s="380"/>
      <c r="E496" s="511"/>
      <c r="F496" s="511"/>
      <c r="G496" s="582"/>
      <c r="H496" s="511"/>
      <c r="I496" s="511"/>
      <c r="J496" s="582"/>
      <c r="K496" s="511"/>
      <c r="L496" s="511"/>
      <c r="M496" s="582"/>
      <c r="N496" s="582"/>
      <c r="O496" s="582"/>
      <c r="P496" s="582"/>
      <c r="Q496" s="511"/>
      <c r="R496" s="511"/>
      <c r="S496" s="511"/>
      <c r="T496" s="639"/>
      <c r="U496" s="511"/>
      <c r="V496" s="511"/>
      <c r="W496" s="511"/>
      <c r="X496" s="511"/>
      <c r="Y496" s="380"/>
      <c r="Z496" s="380"/>
      <c r="AA496" s="380"/>
      <c r="AB496" s="380"/>
      <c r="AC496" s="380"/>
      <c r="AD496" s="671"/>
      <c r="AE496" s="380"/>
      <c r="AF496" s="380"/>
      <c r="AG496" s="380"/>
      <c r="AH496" s="671"/>
      <c r="AI496" s="380"/>
      <c r="AJ496" s="583"/>
      <c r="AK496" s="583"/>
      <c r="AL496" s="511"/>
      <c r="AM496" s="584"/>
      <c r="AN496" s="584"/>
      <c r="AO496" s="584"/>
      <c r="AP496" s="671"/>
      <c r="AQ496" s="584"/>
      <c r="AR496" s="583"/>
      <c r="AS496" s="583"/>
      <c r="AT496" s="585"/>
      <c r="AU496" s="585"/>
      <c r="AV496" s="585"/>
      <c r="AW496" s="585"/>
      <c r="AX496" s="673"/>
      <c r="AY496" s="380"/>
      <c r="AZ496" s="380"/>
      <c r="BA496" s="380"/>
      <c r="BB496" s="380"/>
      <c r="BC496" s="380"/>
      <c r="BD496" s="380"/>
      <c r="BE496" s="380"/>
      <c r="BF496" s="380"/>
      <c r="BG496" s="380"/>
      <c r="BH496" s="380"/>
      <c r="BI496" s="511"/>
      <c r="BJ496" s="380"/>
      <c r="BK496" s="380"/>
      <c r="BL496" s="380"/>
      <c r="BM496" s="380"/>
      <c r="BN496" s="380"/>
      <c r="BO496" s="380"/>
      <c r="BP496" s="380"/>
      <c r="BQ496" s="380"/>
      <c r="BR496" s="380"/>
    </row>
    <row r="497" spans="1:70" ht="12.75" customHeight="1" x14ac:dyDescent="0.25">
      <c r="A497" s="380"/>
      <c r="B497" s="380"/>
      <c r="C497" s="380"/>
      <c r="D497" s="380"/>
      <c r="E497" s="511"/>
      <c r="F497" s="511"/>
      <c r="G497" s="582"/>
      <c r="H497" s="511"/>
      <c r="I497" s="511"/>
      <c r="J497" s="582"/>
      <c r="K497" s="511"/>
      <c r="L497" s="511"/>
      <c r="M497" s="582"/>
      <c r="N497" s="582"/>
      <c r="O497" s="582"/>
      <c r="P497" s="582"/>
      <c r="Q497" s="511"/>
      <c r="R497" s="511"/>
      <c r="S497" s="511"/>
      <c r="T497" s="639"/>
      <c r="U497" s="511"/>
      <c r="V497" s="511"/>
      <c r="W497" s="511"/>
      <c r="X497" s="511"/>
      <c r="Y497" s="380"/>
      <c r="Z497" s="380"/>
      <c r="AA497" s="380"/>
      <c r="AB497" s="380"/>
      <c r="AC497" s="380"/>
      <c r="AD497" s="671"/>
      <c r="AE497" s="380"/>
      <c r="AF497" s="380"/>
      <c r="AG497" s="380"/>
      <c r="AH497" s="671"/>
      <c r="AI497" s="380"/>
      <c r="AJ497" s="583"/>
      <c r="AK497" s="583"/>
      <c r="AL497" s="511"/>
      <c r="AM497" s="584"/>
      <c r="AN497" s="584"/>
      <c r="AO497" s="584"/>
      <c r="AP497" s="671"/>
      <c r="AQ497" s="584"/>
      <c r="AR497" s="583"/>
      <c r="AS497" s="583"/>
      <c r="AT497" s="585"/>
      <c r="AU497" s="585"/>
      <c r="AV497" s="585"/>
      <c r="AW497" s="585"/>
      <c r="AX497" s="673"/>
      <c r="AY497" s="380"/>
      <c r="AZ497" s="380"/>
      <c r="BA497" s="380"/>
      <c r="BB497" s="380"/>
      <c r="BC497" s="380"/>
      <c r="BD497" s="380"/>
      <c r="BE497" s="380"/>
      <c r="BF497" s="380"/>
      <c r="BG497" s="380"/>
      <c r="BH497" s="380"/>
      <c r="BI497" s="511"/>
      <c r="BJ497" s="380"/>
      <c r="BK497" s="380"/>
      <c r="BL497" s="380"/>
      <c r="BM497" s="380"/>
      <c r="BN497" s="380"/>
      <c r="BO497" s="380"/>
      <c r="BP497" s="380"/>
      <c r="BQ497" s="380"/>
      <c r="BR497" s="380"/>
    </row>
    <row r="498" spans="1:70" ht="12.75" customHeight="1" x14ac:dyDescent="0.25">
      <c r="A498" s="380"/>
      <c r="B498" s="380"/>
      <c r="C498" s="380"/>
      <c r="D498" s="380"/>
      <c r="E498" s="511"/>
      <c r="F498" s="511"/>
      <c r="G498" s="582"/>
      <c r="H498" s="511"/>
      <c r="I498" s="511"/>
      <c r="J498" s="582"/>
      <c r="K498" s="511"/>
      <c r="L498" s="511"/>
      <c r="M498" s="582"/>
      <c r="N498" s="582"/>
      <c r="O498" s="582"/>
      <c r="P498" s="582"/>
      <c r="Q498" s="511"/>
      <c r="R498" s="511"/>
      <c r="S498" s="511"/>
      <c r="T498" s="639"/>
      <c r="U498" s="511"/>
      <c r="V498" s="511"/>
      <c r="W498" s="511"/>
      <c r="X498" s="511"/>
      <c r="Y498" s="380"/>
      <c r="Z498" s="380"/>
      <c r="AA498" s="380"/>
      <c r="AB498" s="380"/>
      <c r="AC498" s="380"/>
      <c r="AD498" s="671"/>
      <c r="AE498" s="380"/>
      <c r="AF498" s="380"/>
      <c r="AG498" s="380"/>
      <c r="AH498" s="671"/>
      <c r="AI498" s="380"/>
      <c r="AJ498" s="583"/>
      <c r="AK498" s="583"/>
      <c r="AL498" s="511"/>
      <c r="AM498" s="584"/>
      <c r="AN498" s="584"/>
      <c r="AO498" s="584"/>
      <c r="AP498" s="671"/>
      <c r="AQ498" s="584"/>
      <c r="AR498" s="583"/>
      <c r="AS498" s="583"/>
      <c r="AT498" s="585"/>
      <c r="AU498" s="585"/>
      <c r="AV498" s="585"/>
      <c r="AW498" s="585"/>
      <c r="AX498" s="673"/>
      <c r="AY498" s="380"/>
      <c r="AZ498" s="380"/>
      <c r="BA498" s="380"/>
      <c r="BB498" s="380"/>
      <c r="BC498" s="380"/>
      <c r="BD498" s="380"/>
      <c r="BE498" s="380"/>
      <c r="BF498" s="380"/>
      <c r="BG498" s="380"/>
      <c r="BH498" s="380"/>
      <c r="BI498" s="511"/>
      <c r="BJ498" s="380"/>
      <c r="BK498" s="380"/>
      <c r="BL498" s="380"/>
      <c r="BM498" s="380"/>
      <c r="BN498" s="380"/>
      <c r="BO498" s="380"/>
      <c r="BP498" s="380"/>
      <c r="BQ498" s="380"/>
      <c r="BR498" s="380"/>
    </row>
    <row r="499" spans="1:70" ht="12.75" customHeight="1" x14ac:dyDescent="0.25">
      <c r="A499" s="380"/>
      <c r="B499" s="380"/>
      <c r="C499" s="380"/>
      <c r="D499" s="380"/>
      <c r="E499" s="511"/>
      <c r="F499" s="511"/>
      <c r="G499" s="582"/>
      <c r="H499" s="511"/>
      <c r="I499" s="511"/>
      <c r="J499" s="582"/>
      <c r="K499" s="511"/>
      <c r="L499" s="511"/>
      <c r="M499" s="582"/>
      <c r="N499" s="582"/>
      <c r="O499" s="582"/>
      <c r="P499" s="582"/>
      <c r="Q499" s="511"/>
      <c r="R499" s="511"/>
      <c r="S499" s="511"/>
      <c r="T499" s="639"/>
      <c r="U499" s="511"/>
      <c r="V499" s="511"/>
      <c r="W499" s="511"/>
      <c r="X499" s="511"/>
      <c r="Y499" s="380"/>
      <c r="Z499" s="380"/>
      <c r="AA499" s="380"/>
      <c r="AB499" s="380"/>
      <c r="AC499" s="380"/>
      <c r="AD499" s="671"/>
      <c r="AE499" s="380"/>
      <c r="AF499" s="380"/>
      <c r="AG499" s="380"/>
      <c r="AH499" s="671"/>
      <c r="AI499" s="380"/>
      <c r="AJ499" s="583"/>
      <c r="AK499" s="583"/>
      <c r="AL499" s="511"/>
      <c r="AM499" s="584"/>
      <c r="AN499" s="584"/>
      <c r="AO499" s="584"/>
      <c r="AP499" s="671"/>
      <c r="AQ499" s="584"/>
      <c r="AR499" s="583"/>
      <c r="AS499" s="583"/>
      <c r="AT499" s="585"/>
      <c r="AU499" s="585"/>
      <c r="AV499" s="585"/>
      <c r="AW499" s="585"/>
      <c r="AX499" s="673"/>
      <c r="AY499" s="380"/>
      <c r="AZ499" s="380"/>
      <c r="BA499" s="380"/>
      <c r="BB499" s="380"/>
      <c r="BC499" s="380"/>
      <c r="BD499" s="380"/>
      <c r="BE499" s="380"/>
      <c r="BF499" s="380"/>
      <c r="BG499" s="380"/>
      <c r="BH499" s="380"/>
      <c r="BI499" s="511"/>
      <c r="BJ499" s="380"/>
      <c r="BK499" s="380"/>
      <c r="BL499" s="380"/>
      <c r="BM499" s="380"/>
      <c r="BN499" s="380"/>
      <c r="BO499" s="380"/>
      <c r="BP499" s="380"/>
      <c r="BQ499" s="380"/>
      <c r="BR499" s="380"/>
    </row>
    <row r="500" spans="1:70" ht="12.75" customHeight="1" x14ac:dyDescent="0.25">
      <c r="A500" s="380"/>
      <c r="B500" s="380"/>
      <c r="C500" s="380"/>
      <c r="D500" s="380"/>
      <c r="E500" s="511"/>
      <c r="F500" s="511"/>
      <c r="G500" s="582"/>
      <c r="H500" s="511"/>
      <c r="I500" s="511"/>
      <c r="J500" s="582"/>
      <c r="K500" s="511"/>
      <c r="L500" s="511"/>
      <c r="M500" s="582"/>
      <c r="N500" s="582"/>
      <c r="O500" s="582"/>
      <c r="P500" s="582"/>
      <c r="Q500" s="511"/>
      <c r="R500" s="511"/>
      <c r="S500" s="511"/>
      <c r="T500" s="639"/>
      <c r="U500" s="511"/>
      <c r="V500" s="511"/>
      <c r="W500" s="511"/>
      <c r="X500" s="511"/>
      <c r="Y500" s="380"/>
      <c r="Z500" s="380"/>
      <c r="AA500" s="380"/>
      <c r="AB500" s="380"/>
      <c r="AC500" s="380"/>
      <c r="AD500" s="671"/>
      <c r="AE500" s="380"/>
      <c r="AF500" s="380"/>
      <c r="AG500" s="380"/>
      <c r="AH500" s="671"/>
      <c r="AI500" s="380"/>
      <c r="AJ500" s="583"/>
      <c r="AK500" s="583"/>
      <c r="AL500" s="511"/>
      <c r="AM500" s="584"/>
      <c r="AN500" s="584"/>
      <c r="AO500" s="584"/>
      <c r="AP500" s="671"/>
      <c r="AQ500" s="584"/>
      <c r="AR500" s="583"/>
      <c r="AS500" s="583"/>
      <c r="AT500" s="585"/>
      <c r="AU500" s="585"/>
      <c r="AV500" s="585"/>
      <c r="AW500" s="585"/>
      <c r="AX500" s="673"/>
      <c r="AY500" s="380"/>
      <c r="AZ500" s="380"/>
      <c r="BA500" s="380"/>
      <c r="BB500" s="380"/>
      <c r="BC500" s="380"/>
      <c r="BD500" s="380"/>
      <c r="BE500" s="380"/>
      <c r="BF500" s="380"/>
      <c r="BG500" s="380"/>
      <c r="BH500" s="380"/>
      <c r="BI500" s="511"/>
      <c r="BJ500" s="380"/>
      <c r="BK500" s="380"/>
      <c r="BL500" s="380"/>
      <c r="BM500" s="380"/>
      <c r="BN500" s="380"/>
      <c r="BO500" s="380"/>
      <c r="BP500" s="380"/>
      <c r="BQ500" s="380"/>
      <c r="BR500" s="380"/>
    </row>
    <row r="501" spans="1:70" ht="12.75" customHeight="1" x14ac:dyDescent="0.25">
      <c r="A501" s="380"/>
      <c r="B501" s="380"/>
      <c r="C501" s="380"/>
      <c r="D501" s="380"/>
      <c r="E501" s="511"/>
      <c r="F501" s="511"/>
      <c r="G501" s="582"/>
      <c r="H501" s="511"/>
      <c r="I501" s="511"/>
      <c r="J501" s="582"/>
      <c r="K501" s="511"/>
      <c r="L501" s="511"/>
      <c r="M501" s="582"/>
      <c r="N501" s="582"/>
      <c r="O501" s="582"/>
      <c r="P501" s="582"/>
      <c r="Q501" s="511"/>
      <c r="R501" s="511"/>
      <c r="S501" s="511"/>
      <c r="T501" s="639"/>
      <c r="U501" s="511"/>
      <c r="V501" s="511"/>
      <c r="W501" s="511"/>
      <c r="X501" s="511"/>
      <c r="Y501" s="380"/>
      <c r="Z501" s="380"/>
      <c r="AA501" s="380"/>
      <c r="AB501" s="380"/>
      <c r="AC501" s="380"/>
      <c r="AD501" s="671"/>
      <c r="AE501" s="380"/>
      <c r="AF501" s="380"/>
      <c r="AG501" s="380"/>
      <c r="AH501" s="671"/>
      <c r="AI501" s="380"/>
      <c r="AJ501" s="583"/>
      <c r="AK501" s="583"/>
      <c r="AL501" s="511"/>
      <c r="AM501" s="584"/>
      <c r="AN501" s="584"/>
      <c r="AO501" s="584"/>
      <c r="AP501" s="671"/>
      <c r="AQ501" s="584"/>
      <c r="AR501" s="583"/>
      <c r="AS501" s="583"/>
      <c r="AT501" s="585"/>
      <c r="AU501" s="585"/>
      <c r="AV501" s="585"/>
      <c r="AW501" s="585"/>
      <c r="AX501" s="673"/>
      <c r="AY501" s="380"/>
      <c r="AZ501" s="380"/>
      <c r="BA501" s="380"/>
      <c r="BB501" s="380"/>
      <c r="BC501" s="380"/>
      <c r="BD501" s="380"/>
      <c r="BE501" s="380"/>
      <c r="BF501" s="380"/>
      <c r="BG501" s="380"/>
      <c r="BH501" s="380"/>
      <c r="BI501" s="511"/>
      <c r="BJ501" s="380"/>
      <c r="BK501" s="380"/>
      <c r="BL501" s="380"/>
      <c r="BM501" s="380"/>
      <c r="BN501" s="380"/>
      <c r="BO501" s="380"/>
      <c r="BP501" s="380"/>
      <c r="BQ501" s="380"/>
      <c r="BR501" s="380"/>
    </row>
    <row r="502" spans="1:70" ht="12.75" customHeight="1" x14ac:dyDescent="0.25">
      <c r="A502" s="380"/>
      <c r="B502" s="380"/>
      <c r="C502" s="380"/>
      <c r="D502" s="380"/>
      <c r="E502" s="511"/>
      <c r="F502" s="511"/>
      <c r="G502" s="582"/>
      <c r="H502" s="511"/>
      <c r="I502" s="511"/>
      <c r="J502" s="582"/>
      <c r="K502" s="511"/>
      <c r="L502" s="511"/>
      <c r="M502" s="582"/>
      <c r="N502" s="582"/>
      <c r="O502" s="582"/>
      <c r="P502" s="582"/>
      <c r="Q502" s="511"/>
      <c r="R502" s="511"/>
      <c r="S502" s="511"/>
      <c r="T502" s="639"/>
      <c r="U502" s="511"/>
      <c r="V502" s="511"/>
      <c r="W502" s="511"/>
      <c r="X502" s="511"/>
      <c r="Y502" s="380"/>
      <c r="Z502" s="380"/>
      <c r="AA502" s="380"/>
      <c r="AB502" s="380"/>
      <c r="AC502" s="380"/>
      <c r="AD502" s="671"/>
      <c r="AE502" s="380"/>
      <c r="AF502" s="380"/>
      <c r="AG502" s="380"/>
      <c r="AH502" s="671"/>
      <c r="AI502" s="380"/>
      <c r="AJ502" s="583"/>
      <c r="AK502" s="583"/>
      <c r="AL502" s="511"/>
      <c r="AM502" s="584"/>
      <c r="AN502" s="584"/>
      <c r="AO502" s="584"/>
      <c r="AP502" s="671"/>
      <c r="AQ502" s="584"/>
      <c r="AR502" s="583"/>
      <c r="AS502" s="583"/>
      <c r="AT502" s="585"/>
      <c r="AU502" s="585"/>
      <c r="AV502" s="585"/>
      <c r="AW502" s="585"/>
      <c r="AX502" s="673"/>
      <c r="AY502" s="380"/>
      <c r="AZ502" s="380"/>
      <c r="BA502" s="380"/>
      <c r="BB502" s="380"/>
      <c r="BC502" s="380"/>
      <c r="BD502" s="380"/>
      <c r="BE502" s="380"/>
      <c r="BF502" s="380"/>
      <c r="BG502" s="380"/>
      <c r="BH502" s="380"/>
      <c r="BI502" s="511"/>
      <c r="BJ502" s="380"/>
      <c r="BK502" s="380"/>
      <c r="BL502" s="380"/>
      <c r="BM502" s="380"/>
      <c r="BN502" s="380"/>
      <c r="BO502" s="380"/>
      <c r="BP502" s="380"/>
      <c r="BQ502" s="380"/>
      <c r="BR502" s="380"/>
    </row>
    <row r="503" spans="1:70" ht="12.75" customHeight="1" x14ac:dyDescent="0.25">
      <c r="A503" s="380"/>
      <c r="B503" s="380"/>
      <c r="C503" s="380"/>
      <c r="D503" s="380"/>
      <c r="E503" s="511"/>
      <c r="F503" s="511"/>
      <c r="G503" s="582"/>
      <c r="H503" s="511"/>
      <c r="I503" s="511"/>
      <c r="J503" s="582"/>
      <c r="K503" s="511"/>
      <c r="L503" s="511"/>
      <c r="M503" s="582"/>
      <c r="N503" s="582"/>
      <c r="O503" s="582"/>
      <c r="P503" s="582"/>
      <c r="Q503" s="511"/>
      <c r="R503" s="511"/>
      <c r="S503" s="511"/>
      <c r="T503" s="639"/>
      <c r="U503" s="511"/>
      <c r="V503" s="511"/>
      <c r="W503" s="511"/>
      <c r="X503" s="511"/>
      <c r="Y503" s="380"/>
      <c r="Z503" s="380"/>
      <c r="AA503" s="380"/>
      <c r="AB503" s="380"/>
      <c r="AC503" s="380"/>
      <c r="AD503" s="671"/>
      <c r="AE503" s="380"/>
      <c r="AF503" s="380"/>
      <c r="AG503" s="380"/>
      <c r="AH503" s="671"/>
      <c r="AI503" s="380"/>
      <c r="AJ503" s="583"/>
      <c r="AK503" s="583"/>
      <c r="AL503" s="511"/>
      <c r="AM503" s="584"/>
      <c r="AN503" s="584"/>
      <c r="AO503" s="584"/>
      <c r="AP503" s="671"/>
      <c r="AQ503" s="584"/>
      <c r="AR503" s="583"/>
      <c r="AS503" s="583"/>
      <c r="AT503" s="585"/>
      <c r="AU503" s="585"/>
      <c r="AV503" s="585"/>
      <c r="AW503" s="585"/>
      <c r="AX503" s="673"/>
      <c r="AY503" s="380"/>
      <c r="AZ503" s="380"/>
      <c r="BA503" s="380"/>
      <c r="BB503" s="380"/>
      <c r="BC503" s="380"/>
      <c r="BD503" s="380"/>
      <c r="BE503" s="380"/>
      <c r="BF503" s="380"/>
      <c r="BG503" s="380"/>
      <c r="BH503" s="380"/>
      <c r="BI503" s="511"/>
      <c r="BJ503" s="380"/>
      <c r="BK503" s="380"/>
      <c r="BL503" s="380"/>
      <c r="BM503" s="380"/>
      <c r="BN503" s="380"/>
      <c r="BO503" s="380"/>
      <c r="BP503" s="380"/>
      <c r="BQ503" s="380"/>
      <c r="BR503" s="380"/>
    </row>
    <row r="504" spans="1:70" ht="12.75" customHeight="1" x14ac:dyDescent="0.25">
      <c r="A504" s="380"/>
      <c r="B504" s="380"/>
      <c r="C504" s="380"/>
      <c r="D504" s="380"/>
      <c r="E504" s="511"/>
      <c r="F504" s="511"/>
      <c r="G504" s="582"/>
      <c r="H504" s="511"/>
      <c r="I504" s="511"/>
      <c r="J504" s="582"/>
      <c r="K504" s="511"/>
      <c r="L504" s="511"/>
      <c r="M504" s="582"/>
      <c r="N504" s="582"/>
      <c r="O504" s="582"/>
      <c r="P504" s="582"/>
      <c r="Q504" s="511"/>
      <c r="R504" s="511"/>
      <c r="S504" s="511"/>
      <c r="T504" s="639"/>
      <c r="U504" s="511"/>
      <c r="V504" s="511"/>
      <c r="W504" s="511"/>
      <c r="X504" s="511"/>
      <c r="Y504" s="380"/>
      <c r="Z504" s="380"/>
      <c r="AA504" s="380"/>
      <c r="AB504" s="380"/>
      <c r="AC504" s="380"/>
      <c r="AD504" s="671"/>
      <c r="AE504" s="380"/>
      <c r="AF504" s="380"/>
      <c r="AG504" s="380"/>
      <c r="AH504" s="671"/>
      <c r="AI504" s="380"/>
      <c r="AJ504" s="583"/>
      <c r="AK504" s="583"/>
      <c r="AL504" s="511"/>
      <c r="AM504" s="584"/>
      <c r="AN504" s="584"/>
      <c r="AO504" s="584"/>
      <c r="AP504" s="671"/>
      <c r="AQ504" s="584"/>
      <c r="AR504" s="583"/>
      <c r="AS504" s="583"/>
      <c r="AT504" s="585"/>
      <c r="AU504" s="585"/>
      <c r="AV504" s="585"/>
      <c r="AW504" s="585"/>
      <c r="AX504" s="673"/>
      <c r="AY504" s="380"/>
      <c r="AZ504" s="380"/>
      <c r="BA504" s="380"/>
      <c r="BB504" s="380"/>
      <c r="BC504" s="380"/>
      <c r="BD504" s="380"/>
      <c r="BE504" s="380"/>
      <c r="BF504" s="380"/>
      <c r="BG504" s="380"/>
      <c r="BH504" s="380"/>
      <c r="BI504" s="511"/>
      <c r="BJ504" s="380"/>
      <c r="BK504" s="380"/>
      <c r="BL504" s="380"/>
      <c r="BM504" s="380"/>
      <c r="BN504" s="380"/>
      <c r="BO504" s="380"/>
      <c r="BP504" s="380"/>
      <c r="BQ504" s="380"/>
      <c r="BR504" s="380"/>
    </row>
    <row r="505" spans="1:70" ht="12.75" customHeight="1" x14ac:dyDescent="0.25">
      <c r="A505" s="380"/>
      <c r="B505" s="380"/>
      <c r="C505" s="380"/>
      <c r="D505" s="380"/>
      <c r="E505" s="511"/>
      <c r="F505" s="511"/>
      <c r="G505" s="582"/>
      <c r="H505" s="511"/>
      <c r="I505" s="511"/>
      <c r="J505" s="582"/>
      <c r="K505" s="511"/>
      <c r="L505" s="511"/>
      <c r="M505" s="582"/>
      <c r="N505" s="582"/>
      <c r="O505" s="582"/>
      <c r="P505" s="582"/>
      <c r="Q505" s="511"/>
      <c r="R505" s="511"/>
      <c r="S505" s="511"/>
      <c r="T505" s="639"/>
      <c r="U505" s="511"/>
      <c r="V505" s="511"/>
      <c r="W505" s="511"/>
      <c r="X505" s="511"/>
      <c r="Y505" s="380"/>
      <c r="Z505" s="380"/>
      <c r="AA505" s="380"/>
      <c r="AB505" s="380"/>
      <c r="AC505" s="380"/>
      <c r="AD505" s="671"/>
      <c r="AE505" s="380"/>
      <c r="AF505" s="380"/>
      <c r="AG505" s="380"/>
      <c r="AH505" s="671"/>
      <c r="AI505" s="380"/>
      <c r="AJ505" s="583"/>
      <c r="AK505" s="583"/>
      <c r="AL505" s="511"/>
      <c r="AM505" s="584"/>
      <c r="AN505" s="584"/>
      <c r="AO505" s="584"/>
      <c r="AP505" s="671"/>
      <c r="AQ505" s="584"/>
      <c r="AR505" s="583"/>
      <c r="AS505" s="583"/>
      <c r="AT505" s="585"/>
      <c r="AU505" s="585"/>
      <c r="AV505" s="585"/>
      <c r="AW505" s="585"/>
      <c r="AX505" s="673"/>
      <c r="AY505" s="380"/>
      <c r="AZ505" s="380"/>
      <c r="BA505" s="380"/>
      <c r="BB505" s="380"/>
      <c r="BC505" s="380"/>
      <c r="BD505" s="380"/>
      <c r="BE505" s="380"/>
      <c r="BF505" s="380"/>
      <c r="BG505" s="380"/>
      <c r="BH505" s="380"/>
      <c r="BI505" s="511"/>
      <c r="BJ505" s="380"/>
      <c r="BK505" s="380"/>
      <c r="BL505" s="380"/>
      <c r="BM505" s="380"/>
      <c r="BN505" s="380"/>
      <c r="BO505" s="380"/>
      <c r="BP505" s="380"/>
      <c r="BQ505" s="380"/>
      <c r="BR505" s="380"/>
    </row>
    <row r="506" spans="1:70" ht="12.75" customHeight="1" x14ac:dyDescent="0.25">
      <c r="A506" s="380"/>
      <c r="B506" s="380"/>
      <c r="C506" s="380"/>
      <c r="D506" s="380"/>
      <c r="E506" s="511"/>
      <c r="F506" s="511"/>
      <c r="G506" s="582"/>
      <c r="H506" s="511"/>
      <c r="I506" s="511"/>
      <c r="J506" s="582"/>
      <c r="K506" s="511"/>
      <c r="L506" s="511"/>
      <c r="M506" s="582"/>
      <c r="N506" s="582"/>
      <c r="O506" s="582"/>
      <c r="P506" s="582"/>
      <c r="Q506" s="511"/>
      <c r="R506" s="511"/>
      <c r="S506" s="511"/>
      <c r="T506" s="639"/>
      <c r="U506" s="511"/>
      <c r="V506" s="511"/>
      <c r="W506" s="511"/>
      <c r="X506" s="511"/>
      <c r="Y506" s="380"/>
      <c r="Z506" s="380"/>
      <c r="AA506" s="380"/>
      <c r="AB506" s="380"/>
      <c r="AC506" s="380"/>
      <c r="AD506" s="671"/>
      <c r="AE506" s="380"/>
      <c r="AF506" s="380"/>
      <c r="AG506" s="380"/>
      <c r="AH506" s="671"/>
      <c r="AI506" s="380"/>
      <c r="AJ506" s="583"/>
      <c r="AK506" s="583"/>
      <c r="AL506" s="511"/>
      <c r="AM506" s="584"/>
      <c r="AN506" s="584"/>
      <c r="AO506" s="584"/>
      <c r="AP506" s="671"/>
      <c r="AQ506" s="584"/>
      <c r="AR506" s="583"/>
      <c r="AS506" s="583"/>
      <c r="AT506" s="585"/>
      <c r="AU506" s="585"/>
      <c r="AV506" s="585"/>
      <c r="AW506" s="585"/>
      <c r="AX506" s="673"/>
      <c r="AY506" s="380"/>
      <c r="AZ506" s="380"/>
      <c r="BA506" s="380"/>
      <c r="BB506" s="380"/>
      <c r="BC506" s="380"/>
      <c r="BD506" s="380"/>
      <c r="BE506" s="380"/>
      <c r="BF506" s="380"/>
      <c r="BG506" s="380"/>
      <c r="BH506" s="380"/>
      <c r="BI506" s="511"/>
      <c r="BJ506" s="380"/>
      <c r="BK506" s="380"/>
      <c r="BL506" s="380"/>
      <c r="BM506" s="380"/>
      <c r="BN506" s="380"/>
      <c r="BO506" s="380"/>
      <c r="BP506" s="380"/>
      <c r="BQ506" s="380"/>
      <c r="BR506" s="380"/>
    </row>
    <row r="507" spans="1:70" ht="12.75" customHeight="1" x14ac:dyDescent="0.25">
      <c r="A507" s="380"/>
      <c r="B507" s="380"/>
      <c r="C507" s="380"/>
      <c r="D507" s="380"/>
      <c r="E507" s="511"/>
      <c r="F507" s="511"/>
      <c r="G507" s="582"/>
      <c r="H507" s="511"/>
      <c r="I507" s="511"/>
      <c r="J507" s="582"/>
      <c r="K507" s="511"/>
      <c r="L507" s="511"/>
      <c r="M507" s="582"/>
      <c r="N507" s="582"/>
      <c r="O507" s="582"/>
      <c r="P507" s="582"/>
      <c r="Q507" s="511"/>
      <c r="R507" s="511"/>
      <c r="S507" s="511"/>
      <c r="T507" s="639"/>
      <c r="U507" s="511"/>
      <c r="V507" s="511"/>
      <c r="W507" s="511"/>
      <c r="X507" s="511"/>
      <c r="Y507" s="380"/>
      <c r="Z507" s="380"/>
      <c r="AA507" s="380"/>
      <c r="AB507" s="380"/>
      <c r="AC507" s="380"/>
      <c r="AD507" s="671"/>
      <c r="AE507" s="380"/>
      <c r="AF507" s="380"/>
      <c r="AG507" s="380"/>
      <c r="AH507" s="671"/>
      <c r="AI507" s="380"/>
      <c r="AJ507" s="583"/>
      <c r="AK507" s="583"/>
      <c r="AL507" s="511"/>
      <c r="AM507" s="584"/>
      <c r="AN507" s="584"/>
      <c r="AO507" s="584"/>
      <c r="AP507" s="671"/>
      <c r="AQ507" s="584"/>
      <c r="AR507" s="583"/>
      <c r="AS507" s="583"/>
      <c r="AT507" s="585"/>
      <c r="AU507" s="585"/>
      <c r="AV507" s="585"/>
      <c r="AW507" s="585"/>
      <c r="AX507" s="673"/>
      <c r="AY507" s="380"/>
      <c r="AZ507" s="380"/>
      <c r="BA507" s="380"/>
      <c r="BB507" s="380"/>
      <c r="BC507" s="380"/>
      <c r="BD507" s="380"/>
      <c r="BE507" s="380"/>
      <c r="BF507" s="380"/>
      <c r="BG507" s="380"/>
      <c r="BH507" s="380"/>
      <c r="BI507" s="511"/>
      <c r="BJ507" s="380"/>
      <c r="BK507" s="380"/>
      <c r="BL507" s="380"/>
      <c r="BM507" s="380"/>
      <c r="BN507" s="380"/>
      <c r="BO507" s="380"/>
      <c r="BP507" s="380"/>
      <c r="BQ507" s="380"/>
      <c r="BR507" s="380"/>
    </row>
    <row r="508" spans="1:70" ht="12.75" customHeight="1" x14ac:dyDescent="0.25">
      <c r="A508" s="380"/>
      <c r="B508" s="380"/>
      <c r="C508" s="380"/>
      <c r="D508" s="380"/>
      <c r="E508" s="511"/>
      <c r="F508" s="511"/>
      <c r="G508" s="582"/>
      <c r="H508" s="511"/>
      <c r="I508" s="511"/>
      <c r="J508" s="582"/>
      <c r="K508" s="511"/>
      <c r="L508" s="511"/>
      <c r="M508" s="582"/>
      <c r="N508" s="582"/>
      <c r="O508" s="582"/>
      <c r="P508" s="582"/>
      <c r="Q508" s="511"/>
      <c r="R508" s="511"/>
      <c r="S508" s="511"/>
      <c r="T508" s="639"/>
      <c r="U508" s="511"/>
      <c r="V508" s="511"/>
      <c r="W508" s="511"/>
      <c r="X508" s="511"/>
      <c r="Y508" s="380"/>
      <c r="Z508" s="380"/>
      <c r="AA508" s="380"/>
      <c r="AB508" s="380"/>
      <c r="AC508" s="380"/>
      <c r="AD508" s="671"/>
      <c r="AE508" s="380"/>
      <c r="AF508" s="380"/>
      <c r="AG508" s="380"/>
      <c r="AH508" s="671"/>
      <c r="AI508" s="380"/>
      <c r="AJ508" s="583"/>
      <c r="AK508" s="583"/>
      <c r="AL508" s="511"/>
      <c r="AM508" s="584"/>
      <c r="AN508" s="584"/>
      <c r="AO508" s="584"/>
      <c r="AP508" s="671"/>
      <c r="AQ508" s="584"/>
      <c r="AR508" s="583"/>
      <c r="AS508" s="583"/>
      <c r="AT508" s="585"/>
      <c r="AU508" s="585"/>
      <c r="AV508" s="585"/>
      <c r="AW508" s="585"/>
      <c r="AX508" s="673"/>
      <c r="AY508" s="380"/>
      <c r="AZ508" s="380"/>
      <c r="BA508" s="380"/>
      <c r="BB508" s="380"/>
      <c r="BC508" s="380"/>
      <c r="BD508" s="380"/>
      <c r="BE508" s="380"/>
      <c r="BF508" s="380"/>
      <c r="BG508" s="380"/>
      <c r="BH508" s="380"/>
      <c r="BI508" s="511"/>
      <c r="BJ508" s="380"/>
      <c r="BK508" s="380"/>
      <c r="BL508" s="380"/>
      <c r="BM508" s="380"/>
      <c r="BN508" s="380"/>
      <c r="BO508" s="380"/>
      <c r="BP508" s="380"/>
      <c r="BQ508" s="380"/>
      <c r="BR508" s="380"/>
    </row>
    <row r="509" spans="1:70" ht="12.75" customHeight="1" x14ac:dyDescent="0.25">
      <c r="A509" s="380"/>
      <c r="B509" s="380"/>
      <c r="C509" s="380"/>
      <c r="D509" s="380"/>
      <c r="E509" s="511"/>
      <c r="F509" s="511"/>
      <c r="G509" s="582"/>
      <c r="H509" s="511"/>
      <c r="I509" s="511"/>
      <c r="J509" s="582"/>
      <c r="K509" s="511"/>
      <c r="L509" s="511"/>
      <c r="M509" s="582"/>
      <c r="N509" s="582"/>
      <c r="O509" s="582"/>
      <c r="P509" s="582"/>
      <c r="Q509" s="511"/>
      <c r="R509" s="511"/>
      <c r="S509" s="511"/>
      <c r="T509" s="639"/>
      <c r="U509" s="511"/>
      <c r="V509" s="511"/>
      <c r="W509" s="511"/>
      <c r="X509" s="511"/>
      <c r="Y509" s="380"/>
      <c r="Z509" s="380"/>
      <c r="AA509" s="380"/>
      <c r="AB509" s="380"/>
      <c r="AC509" s="380"/>
      <c r="AD509" s="671"/>
      <c r="AE509" s="380"/>
      <c r="AF509" s="380"/>
      <c r="AG509" s="380"/>
      <c r="AH509" s="671"/>
      <c r="AI509" s="380"/>
      <c r="AJ509" s="583"/>
      <c r="AK509" s="583"/>
      <c r="AL509" s="511"/>
      <c r="AM509" s="584"/>
      <c r="AN509" s="584"/>
      <c r="AO509" s="584"/>
      <c r="AP509" s="671"/>
      <c r="AQ509" s="584"/>
      <c r="AR509" s="583"/>
      <c r="AS509" s="583"/>
      <c r="AT509" s="585"/>
      <c r="AU509" s="585"/>
      <c r="AV509" s="585"/>
      <c r="AW509" s="585"/>
      <c r="AX509" s="673"/>
      <c r="AY509" s="380"/>
      <c r="AZ509" s="380"/>
      <c r="BA509" s="380"/>
      <c r="BB509" s="380"/>
      <c r="BC509" s="380"/>
      <c r="BD509" s="380"/>
      <c r="BE509" s="380"/>
      <c r="BF509" s="380"/>
      <c r="BG509" s="380"/>
      <c r="BH509" s="380"/>
      <c r="BI509" s="511"/>
      <c r="BJ509" s="380"/>
      <c r="BK509" s="380"/>
      <c r="BL509" s="380"/>
      <c r="BM509" s="380"/>
      <c r="BN509" s="380"/>
      <c r="BO509" s="380"/>
      <c r="BP509" s="380"/>
      <c r="BQ509" s="380"/>
      <c r="BR509" s="380"/>
    </row>
    <row r="510" spans="1:70" ht="12.75" customHeight="1" x14ac:dyDescent="0.25">
      <c r="A510" s="380"/>
      <c r="B510" s="380"/>
      <c r="C510" s="380"/>
      <c r="D510" s="380"/>
      <c r="E510" s="511"/>
      <c r="F510" s="511"/>
      <c r="G510" s="582"/>
      <c r="H510" s="511"/>
      <c r="I510" s="511"/>
      <c r="J510" s="582"/>
      <c r="K510" s="511"/>
      <c r="L510" s="511"/>
      <c r="M510" s="582"/>
      <c r="N510" s="582"/>
      <c r="O510" s="582"/>
      <c r="P510" s="582"/>
      <c r="Q510" s="511"/>
      <c r="R510" s="511"/>
      <c r="S510" s="511"/>
      <c r="T510" s="639"/>
      <c r="U510" s="511"/>
      <c r="V510" s="511"/>
      <c r="W510" s="511"/>
      <c r="X510" s="511"/>
      <c r="Y510" s="380"/>
      <c r="Z510" s="380"/>
      <c r="AA510" s="380"/>
      <c r="AB510" s="380"/>
      <c r="AC510" s="380"/>
      <c r="AD510" s="671"/>
      <c r="AE510" s="380"/>
      <c r="AF510" s="380"/>
      <c r="AG510" s="380"/>
      <c r="AH510" s="671"/>
      <c r="AI510" s="380"/>
      <c r="AJ510" s="583"/>
      <c r="AK510" s="583"/>
      <c r="AL510" s="511"/>
      <c r="AM510" s="584"/>
      <c r="AN510" s="584"/>
      <c r="AO510" s="584"/>
      <c r="AP510" s="671"/>
      <c r="AQ510" s="584"/>
      <c r="AR510" s="583"/>
      <c r="AS510" s="583"/>
      <c r="AT510" s="585"/>
      <c r="AU510" s="585"/>
      <c r="AV510" s="585"/>
      <c r="AW510" s="585"/>
      <c r="AX510" s="673"/>
      <c r="AY510" s="380"/>
      <c r="AZ510" s="380"/>
      <c r="BA510" s="380"/>
      <c r="BB510" s="380"/>
      <c r="BC510" s="380"/>
      <c r="BD510" s="380"/>
      <c r="BE510" s="380"/>
      <c r="BF510" s="380"/>
      <c r="BG510" s="380"/>
      <c r="BH510" s="380"/>
      <c r="BI510" s="511"/>
      <c r="BJ510" s="380"/>
      <c r="BK510" s="380"/>
      <c r="BL510" s="380"/>
      <c r="BM510" s="380"/>
      <c r="BN510" s="380"/>
      <c r="BO510" s="380"/>
      <c r="BP510" s="380"/>
      <c r="BQ510" s="380"/>
      <c r="BR510" s="380"/>
    </row>
    <row r="511" spans="1:70" ht="12.75" customHeight="1" x14ac:dyDescent="0.25">
      <c r="A511" s="380"/>
      <c r="B511" s="380"/>
      <c r="C511" s="380"/>
      <c r="D511" s="380"/>
      <c r="E511" s="511"/>
      <c r="F511" s="511"/>
      <c r="G511" s="582"/>
      <c r="H511" s="511"/>
      <c r="I511" s="511"/>
      <c r="J511" s="582"/>
      <c r="K511" s="511"/>
      <c r="L511" s="511"/>
      <c r="M511" s="582"/>
      <c r="N511" s="582"/>
      <c r="O511" s="582"/>
      <c r="P511" s="582"/>
      <c r="Q511" s="511"/>
      <c r="R511" s="511"/>
      <c r="S511" s="511"/>
      <c r="T511" s="639"/>
      <c r="U511" s="511"/>
      <c r="V511" s="511"/>
      <c r="W511" s="511"/>
      <c r="X511" s="511"/>
      <c r="Y511" s="380"/>
      <c r="Z511" s="380"/>
      <c r="AA511" s="380"/>
      <c r="AB511" s="380"/>
      <c r="AC511" s="380"/>
      <c r="AD511" s="671"/>
      <c r="AE511" s="380"/>
      <c r="AF511" s="380"/>
      <c r="AG511" s="380"/>
      <c r="AH511" s="671"/>
      <c r="AI511" s="380"/>
      <c r="AJ511" s="583"/>
      <c r="AK511" s="583"/>
      <c r="AL511" s="511"/>
      <c r="AM511" s="584"/>
      <c r="AN511" s="584"/>
      <c r="AO511" s="584"/>
      <c r="AP511" s="671"/>
      <c r="AQ511" s="584"/>
      <c r="AR511" s="583"/>
      <c r="AS511" s="583"/>
      <c r="AT511" s="585"/>
      <c r="AU511" s="585"/>
      <c r="AV511" s="585"/>
      <c r="AW511" s="585"/>
      <c r="AX511" s="673"/>
      <c r="AY511" s="380"/>
      <c r="AZ511" s="380"/>
      <c r="BA511" s="380"/>
      <c r="BB511" s="380"/>
      <c r="BC511" s="380"/>
      <c r="BD511" s="380"/>
      <c r="BE511" s="380"/>
      <c r="BF511" s="380"/>
      <c r="BG511" s="380"/>
      <c r="BH511" s="380"/>
      <c r="BI511" s="511"/>
      <c r="BJ511" s="380"/>
      <c r="BK511" s="380"/>
      <c r="BL511" s="380"/>
      <c r="BM511" s="380"/>
      <c r="BN511" s="380"/>
      <c r="BO511" s="380"/>
      <c r="BP511" s="380"/>
      <c r="BQ511" s="380"/>
      <c r="BR511" s="380"/>
    </row>
    <row r="512" spans="1:70" ht="12.75" customHeight="1" x14ac:dyDescent="0.25">
      <c r="A512" s="380"/>
      <c r="B512" s="380"/>
      <c r="C512" s="380"/>
      <c r="D512" s="380"/>
      <c r="E512" s="511"/>
      <c r="F512" s="511"/>
      <c r="G512" s="582"/>
      <c r="H512" s="511"/>
      <c r="I512" s="511"/>
      <c r="J512" s="582"/>
      <c r="K512" s="511"/>
      <c r="L512" s="511"/>
      <c r="M512" s="582"/>
      <c r="N512" s="582"/>
      <c r="O512" s="582"/>
      <c r="P512" s="582"/>
      <c r="Q512" s="511"/>
      <c r="R512" s="511"/>
      <c r="S512" s="511"/>
      <c r="T512" s="639"/>
      <c r="U512" s="511"/>
      <c r="V512" s="511"/>
      <c r="W512" s="511"/>
      <c r="X512" s="511"/>
      <c r="Y512" s="380"/>
      <c r="Z512" s="380"/>
      <c r="AA512" s="380"/>
      <c r="AB512" s="380"/>
      <c r="AC512" s="380"/>
      <c r="AD512" s="671"/>
      <c r="AE512" s="380"/>
      <c r="AF512" s="380"/>
      <c r="AG512" s="380"/>
      <c r="AH512" s="671"/>
      <c r="AI512" s="380"/>
      <c r="AJ512" s="583"/>
      <c r="AK512" s="583"/>
      <c r="AL512" s="511"/>
      <c r="AM512" s="584"/>
      <c r="AN512" s="584"/>
      <c r="AO512" s="584"/>
      <c r="AP512" s="671"/>
      <c r="AQ512" s="584"/>
      <c r="AR512" s="583"/>
      <c r="AS512" s="583"/>
      <c r="AT512" s="585"/>
      <c r="AU512" s="585"/>
      <c r="AV512" s="585"/>
      <c r="AW512" s="585"/>
      <c r="AX512" s="673"/>
      <c r="AY512" s="380"/>
      <c r="AZ512" s="380"/>
      <c r="BA512" s="380"/>
      <c r="BB512" s="380"/>
      <c r="BC512" s="380"/>
      <c r="BD512" s="380"/>
      <c r="BE512" s="380"/>
      <c r="BF512" s="380"/>
      <c r="BG512" s="380"/>
      <c r="BH512" s="380"/>
      <c r="BI512" s="511"/>
      <c r="BJ512" s="380"/>
      <c r="BK512" s="380"/>
      <c r="BL512" s="380"/>
      <c r="BM512" s="380"/>
      <c r="BN512" s="380"/>
      <c r="BO512" s="380"/>
      <c r="BP512" s="380"/>
      <c r="BQ512" s="380"/>
      <c r="BR512" s="380"/>
    </row>
    <row r="513" spans="1:70" ht="12.75" customHeight="1" x14ac:dyDescent="0.25">
      <c r="A513" s="380"/>
      <c r="B513" s="380"/>
      <c r="C513" s="380"/>
      <c r="D513" s="380"/>
      <c r="E513" s="511"/>
      <c r="F513" s="511"/>
      <c r="G513" s="582"/>
      <c r="H513" s="511"/>
      <c r="I513" s="511"/>
      <c r="J513" s="582"/>
      <c r="K513" s="511"/>
      <c r="L513" s="511"/>
      <c r="M513" s="582"/>
      <c r="N513" s="582"/>
      <c r="O513" s="582"/>
      <c r="P513" s="582"/>
      <c r="Q513" s="511"/>
      <c r="R513" s="511"/>
      <c r="S513" s="511"/>
      <c r="T513" s="639"/>
      <c r="U513" s="511"/>
      <c r="V513" s="511"/>
      <c r="W513" s="511"/>
      <c r="X513" s="511"/>
      <c r="Y513" s="380"/>
      <c r="Z513" s="380"/>
      <c r="AA513" s="380"/>
      <c r="AB513" s="380"/>
      <c r="AC513" s="380"/>
      <c r="AD513" s="671"/>
      <c r="AE513" s="380"/>
      <c r="AF513" s="380"/>
      <c r="AG513" s="380"/>
      <c r="AH513" s="671"/>
      <c r="AI513" s="380"/>
      <c r="AJ513" s="583"/>
      <c r="AK513" s="583"/>
      <c r="AL513" s="511"/>
      <c r="AM513" s="584"/>
      <c r="AN513" s="584"/>
      <c r="AO513" s="584"/>
      <c r="AP513" s="671"/>
      <c r="AQ513" s="584"/>
      <c r="AR513" s="583"/>
      <c r="AS513" s="583"/>
      <c r="AT513" s="585"/>
      <c r="AU513" s="585"/>
      <c r="AV513" s="585"/>
      <c r="AW513" s="585"/>
      <c r="AX513" s="673"/>
      <c r="AY513" s="380"/>
      <c r="AZ513" s="380"/>
      <c r="BA513" s="380"/>
      <c r="BB513" s="380"/>
      <c r="BC513" s="380"/>
      <c r="BD513" s="380"/>
      <c r="BE513" s="380"/>
      <c r="BF513" s="380"/>
      <c r="BG513" s="380"/>
      <c r="BH513" s="380"/>
      <c r="BI513" s="511"/>
      <c r="BJ513" s="380"/>
      <c r="BK513" s="380"/>
      <c r="BL513" s="380"/>
      <c r="BM513" s="380"/>
      <c r="BN513" s="380"/>
      <c r="BO513" s="380"/>
      <c r="BP513" s="380"/>
      <c r="BQ513" s="380"/>
      <c r="BR513" s="380"/>
    </row>
    <row r="514" spans="1:70" ht="12.75" customHeight="1" x14ac:dyDescent="0.25">
      <c r="A514" s="380"/>
      <c r="B514" s="380"/>
      <c r="C514" s="380"/>
      <c r="D514" s="380"/>
      <c r="E514" s="511"/>
      <c r="F514" s="511"/>
      <c r="G514" s="582"/>
      <c r="H514" s="511"/>
      <c r="I514" s="511"/>
      <c r="J514" s="582"/>
      <c r="K514" s="511"/>
      <c r="L514" s="511"/>
      <c r="M514" s="582"/>
      <c r="N514" s="582"/>
      <c r="O514" s="582"/>
      <c r="P514" s="582"/>
      <c r="Q514" s="511"/>
      <c r="R514" s="511"/>
      <c r="S514" s="511"/>
      <c r="T514" s="639"/>
      <c r="U514" s="511"/>
      <c r="V514" s="511"/>
      <c r="W514" s="511"/>
      <c r="X514" s="511"/>
      <c r="Y514" s="380"/>
      <c r="Z514" s="380"/>
      <c r="AA514" s="380"/>
      <c r="AB514" s="380"/>
      <c r="AC514" s="380"/>
      <c r="AD514" s="671"/>
      <c r="AE514" s="380"/>
      <c r="AF514" s="380"/>
      <c r="AG514" s="380"/>
      <c r="AH514" s="671"/>
      <c r="AI514" s="380"/>
      <c r="AJ514" s="583"/>
      <c r="AK514" s="583"/>
      <c r="AL514" s="511"/>
      <c r="AM514" s="584"/>
      <c r="AN514" s="584"/>
      <c r="AO514" s="584"/>
      <c r="AP514" s="671"/>
      <c r="AQ514" s="584"/>
      <c r="AR514" s="583"/>
      <c r="AS514" s="583"/>
      <c r="AT514" s="585"/>
      <c r="AU514" s="585"/>
      <c r="AV514" s="585"/>
      <c r="AW514" s="585"/>
      <c r="AX514" s="673"/>
      <c r="AY514" s="380"/>
      <c r="AZ514" s="380"/>
      <c r="BA514" s="380"/>
      <c r="BB514" s="380"/>
      <c r="BC514" s="380"/>
      <c r="BD514" s="380"/>
      <c r="BE514" s="380"/>
      <c r="BF514" s="380"/>
      <c r="BG514" s="380"/>
      <c r="BH514" s="380"/>
      <c r="BI514" s="511"/>
      <c r="BJ514" s="380"/>
      <c r="BK514" s="380"/>
      <c r="BL514" s="380"/>
      <c r="BM514" s="380"/>
      <c r="BN514" s="380"/>
      <c r="BO514" s="380"/>
      <c r="BP514" s="380"/>
      <c r="BQ514" s="380"/>
      <c r="BR514" s="380"/>
    </row>
    <row r="515" spans="1:70" ht="12.75" customHeight="1" x14ac:dyDescent="0.25">
      <c r="A515" s="380"/>
      <c r="B515" s="380"/>
      <c r="C515" s="380"/>
      <c r="D515" s="380"/>
      <c r="E515" s="511"/>
      <c r="F515" s="511"/>
      <c r="G515" s="582"/>
      <c r="H515" s="511"/>
      <c r="I515" s="511"/>
      <c r="J515" s="582"/>
      <c r="K515" s="511"/>
      <c r="L515" s="511"/>
      <c r="M515" s="582"/>
      <c r="N515" s="582"/>
      <c r="O515" s="582"/>
      <c r="P515" s="582"/>
      <c r="Q515" s="511"/>
      <c r="R515" s="511"/>
      <c r="S515" s="511"/>
      <c r="T515" s="639"/>
      <c r="U515" s="511"/>
      <c r="V515" s="511"/>
      <c r="W515" s="511"/>
      <c r="X515" s="511"/>
      <c r="Y515" s="380"/>
      <c r="Z515" s="380"/>
      <c r="AA515" s="380"/>
      <c r="AB515" s="380"/>
      <c r="AC515" s="380"/>
      <c r="AD515" s="671"/>
      <c r="AE515" s="380"/>
      <c r="AF515" s="380"/>
      <c r="AG515" s="380"/>
      <c r="AH515" s="671"/>
      <c r="AI515" s="380"/>
      <c r="AJ515" s="583"/>
      <c r="AK515" s="583"/>
      <c r="AL515" s="511"/>
      <c r="AM515" s="584"/>
      <c r="AN515" s="584"/>
      <c r="AO515" s="584"/>
      <c r="AP515" s="671"/>
      <c r="AQ515" s="584"/>
      <c r="AR515" s="583"/>
      <c r="AS515" s="583"/>
      <c r="AT515" s="585"/>
      <c r="AU515" s="585"/>
      <c r="AV515" s="585"/>
      <c r="AW515" s="585"/>
      <c r="AX515" s="673"/>
      <c r="AY515" s="380"/>
      <c r="AZ515" s="380"/>
      <c r="BA515" s="380"/>
      <c r="BB515" s="380"/>
      <c r="BC515" s="380"/>
      <c r="BD515" s="380"/>
      <c r="BE515" s="380"/>
      <c r="BF515" s="380"/>
      <c r="BG515" s="380"/>
      <c r="BH515" s="380"/>
      <c r="BI515" s="511"/>
      <c r="BJ515" s="380"/>
      <c r="BK515" s="380"/>
      <c r="BL515" s="380"/>
      <c r="BM515" s="380"/>
      <c r="BN515" s="380"/>
      <c r="BO515" s="380"/>
      <c r="BP515" s="380"/>
      <c r="BQ515" s="380"/>
      <c r="BR515" s="380"/>
    </row>
    <row r="516" spans="1:70" ht="12.75" customHeight="1" x14ac:dyDescent="0.25">
      <c r="A516" s="380"/>
      <c r="B516" s="380"/>
      <c r="C516" s="380"/>
      <c r="D516" s="380"/>
      <c r="E516" s="511"/>
      <c r="F516" s="511"/>
      <c r="G516" s="582"/>
      <c r="H516" s="511"/>
      <c r="I516" s="511"/>
      <c r="J516" s="582"/>
      <c r="K516" s="511"/>
      <c r="L516" s="511"/>
      <c r="M516" s="582"/>
      <c r="N516" s="582"/>
      <c r="O516" s="582"/>
      <c r="P516" s="582"/>
      <c r="Q516" s="511"/>
      <c r="R516" s="511"/>
      <c r="S516" s="511"/>
      <c r="T516" s="639"/>
      <c r="U516" s="511"/>
      <c r="V516" s="511"/>
      <c r="W516" s="511"/>
      <c r="X516" s="511"/>
      <c r="Y516" s="380"/>
      <c r="Z516" s="380"/>
      <c r="AA516" s="380"/>
      <c r="AB516" s="380"/>
      <c r="AC516" s="380"/>
      <c r="AD516" s="671"/>
      <c r="AE516" s="380"/>
      <c r="AF516" s="380"/>
      <c r="AG516" s="380"/>
      <c r="AH516" s="671"/>
      <c r="AI516" s="380"/>
      <c r="AJ516" s="583"/>
      <c r="AK516" s="583"/>
      <c r="AL516" s="511"/>
      <c r="AM516" s="584"/>
      <c r="AN516" s="584"/>
      <c r="AO516" s="584"/>
      <c r="AP516" s="671"/>
      <c r="AQ516" s="584"/>
      <c r="AR516" s="583"/>
      <c r="AS516" s="583"/>
      <c r="AT516" s="585"/>
      <c r="AU516" s="585"/>
      <c r="AV516" s="585"/>
      <c r="AW516" s="585"/>
      <c r="AX516" s="673"/>
      <c r="AY516" s="380"/>
      <c r="AZ516" s="380"/>
      <c r="BA516" s="380"/>
      <c r="BB516" s="380"/>
      <c r="BC516" s="380"/>
      <c r="BD516" s="380"/>
      <c r="BE516" s="380"/>
      <c r="BF516" s="380"/>
      <c r="BG516" s="380"/>
      <c r="BH516" s="380"/>
      <c r="BI516" s="511"/>
      <c r="BJ516" s="380"/>
      <c r="BK516" s="380"/>
      <c r="BL516" s="380"/>
      <c r="BM516" s="380"/>
      <c r="BN516" s="380"/>
      <c r="BO516" s="380"/>
      <c r="BP516" s="380"/>
      <c r="BQ516" s="380"/>
      <c r="BR516" s="380"/>
    </row>
    <row r="517" spans="1:70" ht="12.75" customHeight="1" x14ac:dyDescent="0.25">
      <c r="A517" s="380"/>
      <c r="B517" s="380"/>
      <c r="C517" s="380"/>
      <c r="D517" s="380"/>
      <c r="E517" s="511"/>
      <c r="F517" s="511"/>
      <c r="G517" s="582"/>
      <c r="H517" s="511"/>
      <c r="I517" s="511"/>
      <c r="J517" s="582"/>
      <c r="K517" s="511"/>
      <c r="L517" s="511"/>
      <c r="M517" s="582"/>
      <c r="N517" s="582"/>
      <c r="O517" s="582"/>
      <c r="P517" s="582"/>
      <c r="Q517" s="511"/>
      <c r="R517" s="511"/>
      <c r="S517" s="511"/>
      <c r="T517" s="639"/>
      <c r="U517" s="511"/>
      <c r="V517" s="511"/>
      <c r="W517" s="511"/>
      <c r="X517" s="511"/>
      <c r="Y517" s="380"/>
      <c r="Z517" s="380"/>
      <c r="AA517" s="380"/>
      <c r="AB517" s="380"/>
      <c r="AC517" s="380"/>
      <c r="AD517" s="671"/>
      <c r="AE517" s="380"/>
      <c r="AF517" s="380"/>
      <c r="AG517" s="380"/>
      <c r="AH517" s="671"/>
      <c r="AI517" s="380"/>
      <c r="AJ517" s="583"/>
      <c r="AK517" s="583"/>
      <c r="AL517" s="511"/>
      <c r="AM517" s="584"/>
      <c r="AN517" s="584"/>
      <c r="AO517" s="584"/>
      <c r="AP517" s="671"/>
      <c r="AQ517" s="584"/>
      <c r="AR517" s="583"/>
      <c r="AS517" s="583"/>
      <c r="AT517" s="585"/>
      <c r="AU517" s="585"/>
      <c r="AV517" s="585"/>
      <c r="AW517" s="585"/>
      <c r="AX517" s="673"/>
      <c r="AY517" s="380"/>
      <c r="AZ517" s="380"/>
      <c r="BA517" s="380"/>
      <c r="BB517" s="380"/>
      <c r="BC517" s="380"/>
      <c r="BD517" s="380"/>
      <c r="BE517" s="380"/>
      <c r="BF517" s="380"/>
      <c r="BG517" s="380"/>
      <c r="BH517" s="380"/>
      <c r="BI517" s="511"/>
      <c r="BJ517" s="380"/>
      <c r="BK517" s="380"/>
      <c r="BL517" s="380"/>
      <c r="BM517" s="380"/>
      <c r="BN517" s="380"/>
      <c r="BO517" s="380"/>
      <c r="BP517" s="380"/>
      <c r="BQ517" s="380"/>
      <c r="BR517" s="380"/>
    </row>
    <row r="518" spans="1:70" ht="12.75" customHeight="1" x14ac:dyDescent="0.25">
      <c r="A518" s="380"/>
      <c r="B518" s="380"/>
      <c r="C518" s="380"/>
      <c r="D518" s="380"/>
      <c r="E518" s="511"/>
      <c r="F518" s="511"/>
      <c r="G518" s="582"/>
      <c r="H518" s="511"/>
      <c r="I518" s="511"/>
      <c r="J518" s="582"/>
      <c r="K518" s="511"/>
      <c r="L518" s="511"/>
      <c r="M518" s="582"/>
      <c r="N518" s="582"/>
      <c r="O518" s="582"/>
      <c r="P518" s="582"/>
      <c r="Q518" s="511"/>
      <c r="R518" s="511"/>
      <c r="S518" s="511"/>
      <c r="T518" s="639"/>
      <c r="U518" s="511"/>
      <c r="V518" s="511"/>
      <c r="W518" s="511"/>
      <c r="X518" s="511"/>
      <c r="Y518" s="380"/>
      <c r="Z518" s="380"/>
      <c r="AA518" s="380"/>
      <c r="AB518" s="380"/>
      <c r="AC518" s="380"/>
      <c r="AD518" s="671"/>
      <c r="AE518" s="380"/>
      <c r="AF518" s="380"/>
      <c r="AG518" s="380"/>
      <c r="AH518" s="671"/>
      <c r="AI518" s="380"/>
      <c r="AJ518" s="583"/>
      <c r="AK518" s="583"/>
      <c r="AL518" s="511"/>
      <c r="AM518" s="584"/>
      <c r="AN518" s="584"/>
      <c r="AO518" s="584"/>
      <c r="AP518" s="671"/>
      <c r="AQ518" s="584"/>
      <c r="AR518" s="583"/>
      <c r="AS518" s="583"/>
      <c r="AT518" s="585"/>
      <c r="AU518" s="585"/>
      <c r="AV518" s="585"/>
      <c r="AW518" s="585"/>
      <c r="AX518" s="673"/>
      <c r="AY518" s="380"/>
      <c r="AZ518" s="380"/>
      <c r="BA518" s="380"/>
      <c r="BB518" s="380"/>
      <c r="BC518" s="380"/>
      <c r="BD518" s="380"/>
      <c r="BE518" s="380"/>
      <c r="BF518" s="380"/>
      <c r="BG518" s="380"/>
      <c r="BH518" s="380"/>
      <c r="BI518" s="511"/>
      <c r="BJ518" s="380"/>
      <c r="BK518" s="380"/>
      <c r="BL518" s="380"/>
      <c r="BM518" s="380"/>
      <c r="BN518" s="380"/>
      <c r="BO518" s="380"/>
      <c r="BP518" s="380"/>
      <c r="BQ518" s="380"/>
      <c r="BR518" s="380"/>
    </row>
    <row r="519" spans="1:70" ht="12.75" customHeight="1" x14ac:dyDescent="0.25">
      <c r="A519" s="380"/>
      <c r="B519" s="380"/>
      <c r="C519" s="380"/>
      <c r="D519" s="380"/>
      <c r="E519" s="511"/>
      <c r="F519" s="511"/>
      <c r="G519" s="582"/>
      <c r="H519" s="511"/>
      <c r="I519" s="511"/>
      <c r="J519" s="582"/>
      <c r="K519" s="511"/>
      <c r="L519" s="511"/>
      <c r="M519" s="582"/>
      <c r="N519" s="582"/>
      <c r="O519" s="582"/>
      <c r="P519" s="582"/>
      <c r="Q519" s="511"/>
      <c r="R519" s="511"/>
      <c r="S519" s="511"/>
      <c r="T519" s="639"/>
      <c r="U519" s="511"/>
      <c r="V519" s="511"/>
      <c r="W519" s="511"/>
      <c r="X519" s="511"/>
      <c r="Y519" s="380"/>
      <c r="Z519" s="380"/>
      <c r="AA519" s="380"/>
      <c r="AB519" s="380"/>
      <c r="AC519" s="380"/>
      <c r="AD519" s="671"/>
      <c r="AE519" s="380"/>
      <c r="AF519" s="380"/>
      <c r="AG519" s="380"/>
      <c r="AH519" s="671"/>
      <c r="AI519" s="380"/>
      <c r="AJ519" s="583"/>
      <c r="AK519" s="583"/>
      <c r="AL519" s="511"/>
      <c r="AM519" s="584"/>
      <c r="AN519" s="584"/>
      <c r="AO519" s="584"/>
      <c r="AP519" s="671"/>
      <c r="AQ519" s="584"/>
      <c r="AR519" s="583"/>
      <c r="AS519" s="583"/>
      <c r="AT519" s="585"/>
      <c r="AU519" s="585"/>
      <c r="AV519" s="585"/>
      <c r="AW519" s="585"/>
      <c r="AX519" s="673"/>
      <c r="AY519" s="380"/>
      <c r="AZ519" s="380"/>
      <c r="BA519" s="380"/>
      <c r="BB519" s="380"/>
      <c r="BC519" s="380"/>
      <c r="BD519" s="380"/>
      <c r="BE519" s="380"/>
      <c r="BF519" s="380"/>
      <c r="BG519" s="380"/>
      <c r="BH519" s="380"/>
      <c r="BI519" s="511"/>
      <c r="BJ519" s="380"/>
      <c r="BK519" s="380"/>
      <c r="BL519" s="380"/>
      <c r="BM519" s="380"/>
      <c r="BN519" s="380"/>
      <c r="BO519" s="380"/>
      <c r="BP519" s="380"/>
      <c r="BQ519" s="380"/>
      <c r="BR519" s="380"/>
    </row>
    <row r="520" spans="1:70" ht="12.75" customHeight="1" x14ac:dyDescent="0.25">
      <c r="A520" s="380"/>
      <c r="B520" s="380"/>
      <c r="C520" s="380"/>
      <c r="D520" s="380"/>
      <c r="E520" s="511"/>
      <c r="F520" s="511"/>
      <c r="G520" s="582"/>
      <c r="H520" s="511"/>
      <c r="I520" s="511"/>
      <c r="J520" s="582"/>
      <c r="K520" s="511"/>
      <c r="L520" s="511"/>
      <c r="M520" s="582"/>
      <c r="N520" s="582"/>
      <c r="O520" s="582"/>
      <c r="P520" s="582"/>
      <c r="Q520" s="511"/>
      <c r="R520" s="511"/>
      <c r="S520" s="511"/>
      <c r="T520" s="639"/>
      <c r="U520" s="511"/>
      <c r="V520" s="511"/>
      <c r="W520" s="511"/>
      <c r="X520" s="511"/>
      <c r="Y520" s="380"/>
      <c r="Z520" s="380"/>
      <c r="AA520" s="380"/>
      <c r="AB520" s="380"/>
      <c r="AC520" s="380"/>
      <c r="AD520" s="671"/>
      <c r="AE520" s="380"/>
      <c r="AF520" s="380"/>
      <c r="AG520" s="380"/>
      <c r="AH520" s="671"/>
      <c r="AI520" s="380"/>
      <c r="AJ520" s="583"/>
      <c r="AK520" s="583"/>
      <c r="AL520" s="511"/>
      <c r="AM520" s="584"/>
      <c r="AN520" s="584"/>
      <c r="AO520" s="584"/>
      <c r="AP520" s="671"/>
      <c r="AQ520" s="584"/>
      <c r="AR520" s="583"/>
      <c r="AS520" s="583"/>
      <c r="AT520" s="585"/>
      <c r="AU520" s="585"/>
      <c r="AV520" s="585"/>
      <c r="AW520" s="585"/>
      <c r="AX520" s="673"/>
      <c r="AY520" s="380"/>
      <c r="AZ520" s="380"/>
      <c r="BA520" s="380"/>
      <c r="BB520" s="380"/>
      <c r="BC520" s="380"/>
      <c r="BD520" s="380"/>
      <c r="BE520" s="380"/>
      <c r="BF520" s="380"/>
      <c r="BG520" s="380"/>
      <c r="BH520" s="380"/>
      <c r="BI520" s="511"/>
      <c r="BJ520" s="380"/>
      <c r="BK520" s="380"/>
      <c r="BL520" s="380"/>
      <c r="BM520" s="380"/>
      <c r="BN520" s="380"/>
      <c r="BO520" s="380"/>
      <c r="BP520" s="380"/>
      <c r="BQ520" s="380"/>
      <c r="BR520" s="380"/>
    </row>
    <row r="521" spans="1:70" ht="12.75" customHeight="1" x14ac:dyDescent="0.25">
      <c r="A521" s="380"/>
      <c r="B521" s="380"/>
      <c r="C521" s="380"/>
      <c r="D521" s="380"/>
      <c r="E521" s="511"/>
      <c r="F521" s="511"/>
      <c r="G521" s="582"/>
      <c r="H521" s="511"/>
      <c r="I521" s="511"/>
      <c r="J521" s="582"/>
      <c r="K521" s="511"/>
      <c r="L521" s="511"/>
      <c r="M521" s="582"/>
      <c r="N521" s="582"/>
      <c r="O521" s="582"/>
      <c r="P521" s="582"/>
      <c r="Q521" s="511"/>
      <c r="R521" s="511"/>
      <c r="S521" s="511"/>
      <c r="T521" s="639"/>
      <c r="U521" s="511"/>
      <c r="V521" s="511"/>
      <c r="W521" s="511"/>
      <c r="X521" s="511"/>
      <c r="Y521" s="380"/>
      <c r="Z521" s="380"/>
      <c r="AA521" s="380"/>
      <c r="AB521" s="380"/>
      <c r="AC521" s="380"/>
      <c r="AD521" s="671"/>
      <c r="AE521" s="380"/>
      <c r="AF521" s="380"/>
      <c r="AG521" s="380"/>
      <c r="AH521" s="671"/>
      <c r="AI521" s="380"/>
      <c r="AJ521" s="583"/>
      <c r="AK521" s="583"/>
      <c r="AL521" s="511"/>
      <c r="AM521" s="584"/>
      <c r="AN521" s="584"/>
      <c r="AO521" s="584"/>
      <c r="AP521" s="671"/>
      <c r="AQ521" s="584"/>
      <c r="AR521" s="583"/>
      <c r="AS521" s="583"/>
      <c r="AT521" s="585"/>
      <c r="AU521" s="585"/>
      <c r="AV521" s="585"/>
      <c r="AW521" s="585"/>
      <c r="AX521" s="673"/>
      <c r="AY521" s="380"/>
      <c r="AZ521" s="380"/>
      <c r="BA521" s="380"/>
      <c r="BB521" s="380"/>
      <c r="BC521" s="380"/>
      <c r="BD521" s="380"/>
      <c r="BE521" s="380"/>
      <c r="BF521" s="380"/>
      <c r="BG521" s="380"/>
      <c r="BH521" s="380"/>
      <c r="BI521" s="511"/>
      <c r="BJ521" s="380"/>
      <c r="BK521" s="380"/>
      <c r="BL521" s="380"/>
      <c r="BM521" s="380"/>
      <c r="BN521" s="380"/>
      <c r="BO521" s="380"/>
      <c r="BP521" s="380"/>
      <c r="BQ521" s="380"/>
      <c r="BR521" s="380"/>
    </row>
    <row r="522" spans="1:70" ht="12.75" customHeight="1" x14ac:dyDescent="0.25">
      <c r="A522" s="380"/>
      <c r="B522" s="380"/>
      <c r="C522" s="380"/>
      <c r="D522" s="380"/>
      <c r="E522" s="511"/>
      <c r="F522" s="511"/>
      <c r="G522" s="582"/>
      <c r="H522" s="511"/>
      <c r="I522" s="511"/>
      <c r="J522" s="582"/>
      <c r="K522" s="511"/>
      <c r="L522" s="511"/>
      <c r="M522" s="582"/>
      <c r="N522" s="582"/>
      <c r="O522" s="582"/>
      <c r="P522" s="582"/>
      <c r="Q522" s="511"/>
      <c r="R522" s="511"/>
      <c r="S522" s="511"/>
      <c r="T522" s="639"/>
      <c r="U522" s="511"/>
      <c r="V522" s="511"/>
      <c r="W522" s="511"/>
      <c r="X522" s="511"/>
      <c r="Y522" s="380"/>
      <c r="Z522" s="380"/>
      <c r="AA522" s="380"/>
      <c r="AB522" s="380"/>
      <c r="AC522" s="380"/>
      <c r="AD522" s="671"/>
      <c r="AE522" s="380"/>
      <c r="AF522" s="380"/>
      <c r="AG522" s="380"/>
      <c r="AH522" s="671"/>
      <c r="AI522" s="380"/>
      <c r="AJ522" s="583"/>
      <c r="AK522" s="583"/>
      <c r="AL522" s="511"/>
      <c r="AM522" s="584"/>
      <c r="AN522" s="584"/>
      <c r="AO522" s="584"/>
      <c r="AP522" s="671"/>
      <c r="AQ522" s="584"/>
      <c r="AR522" s="583"/>
      <c r="AS522" s="583"/>
      <c r="AT522" s="585"/>
      <c r="AU522" s="585"/>
      <c r="AV522" s="585"/>
      <c r="AW522" s="585"/>
      <c r="AX522" s="673"/>
      <c r="AY522" s="380"/>
      <c r="AZ522" s="380"/>
      <c r="BA522" s="380"/>
      <c r="BB522" s="380"/>
      <c r="BC522" s="380"/>
      <c r="BD522" s="380"/>
      <c r="BE522" s="380"/>
      <c r="BF522" s="380"/>
      <c r="BG522" s="380"/>
      <c r="BH522" s="380"/>
      <c r="BI522" s="511"/>
      <c r="BJ522" s="380"/>
      <c r="BK522" s="380"/>
      <c r="BL522" s="380"/>
      <c r="BM522" s="380"/>
      <c r="BN522" s="380"/>
      <c r="BO522" s="380"/>
      <c r="BP522" s="380"/>
      <c r="BQ522" s="380"/>
      <c r="BR522" s="380"/>
    </row>
    <row r="523" spans="1:70" ht="12.75" customHeight="1" x14ac:dyDescent="0.25">
      <c r="A523" s="380"/>
      <c r="B523" s="380"/>
      <c r="C523" s="380"/>
      <c r="D523" s="380"/>
      <c r="E523" s="511"/>
      <c r="F523" s="511"/>
      <c r="G523" s="582"/>
      <c r="H523" s="511"/>
      <c r="I523" s="511"/>
      <c r="J523" s="582"/>
      <c r="K523" s="511"/>
      <c r="L523" s="511"/>
      <c r="M523" s="582"/>
      <c r="N523" s="582"/>
      <c r="O523" s="582"/>
      <c r="P523" s="582"/>
      <c r="Q523" s="511"/>
      <c r="R523" s="511"/>
      <c r="S523" s="511"/>
      <c r="T523" s="639"/>
      <c r="U523" s="511"/>
      <c r="V523" s="511"/>
      <c r="W523" s="511"/>
      <c r="X523" s="511"/>
      <c r="Y523" s="380"/>
      <c r="Z523" s="380"/>
      <c r="AA523" s="380"/>
      <c r="AB523" s="380"/>
      <c r="AC523" s="380"/>
      <c r="AD523" s="671"/>
      <c r="AE523" s="380"/>
      <c r="AF523" s="380"/>
      <c r="AG523" s="380"/>
      <c r="AH523" s="671"/>
      <c r="AI523" s="380"/>
      <c r="AJ523" s="583"/>
      <c r="AK523" s="583"/>
      <c r="AL523" s="511"/>
      <c r="AM523" s="584"/>
      <c r="AN523" s="584"/>
      <c r="AO523" s="584"/>
      <c r="AP523" s="671"/>
      <c r="AQ523" s="584"/>
      <c r="AR523" s="583"/>
      <c r="AS523" s="583"/>
      <c r="AT523" s="585"/>
      <c r="AU523" s="585"/>
      <c r="AV523" s="585"/>
      <c r="AW523" s="585"/>
      <c r="AX523" s="673"/>
      <c r="AY523" s="380"/>
      <c r="AZ523" s="380"/>
      <c r="BA523" s="380"/>
      <c r="BB523" s="380"/>
      <c r="BC523" s="380"/>
      <c r="BD523" s="380"/>
      <c r="BE523" s="380"/>
      <c r="BF523" s="380"/>
      <c r="BG523" s="380"/>
      <c r="BH523" s="380"/>
      <c r="BI523" s="511"/>
      <c r="BJ523" s="380"/>
      <c r="BK523" s="380"/>
      <c r="BL523" s="380"/>
      <c r="BM523" s="380"/>
      <c r="BN523" s="380"/>
      <c r="BO523" s="380"/>
      <c r="BP523" s="380"/>
      <c r="BQ523" s="380"/>
      <c r="BR523" s="380"/>
    </row>
    <row r="524" spans="1:70" ht="12.75" customHeight="1" x14ac:dyDescent="0.25">
      <c r="A524" s="380"/>
      <c r="B524" s="380"/>
      <c r="C524" s="380"/>
      <c r="D524" s="380"/>
      <c r="E524" s="511"/>
      <c r="F524" s="511"/>
      <c r="G524" s="582"/>
      <c r="H524" s="511"/>
      <c r="I524" s="511"/>
      <c r="J524" s="582"/>
      <c r="K524" s="511"/>
      <c r="L524" s="511"/>
      <c r="M524" s="582"/>
      <c r="N524" s="582"/>
      <c r="O524" s="582"/>
      <c r="P524" s="582"/>
      <c r="Q524" s="511"/>
      <c r="R524" s="511"/>
      <c r="S524" s="511"/>
      <c r="T524" s="639"/>
      <c r="U524" s="511"/>
      <c r="V524" s="511"/>
      <c r="W524" s="511"/>
      <c r="X524" s="511"/>
      <c r="Y524" s="380"/>
      <c r="Z524" s="380"/>
      <c r="AA524" s="380"/>
      <c r="AB524" s="380"/>
      <c r="AC524" s="380"/>
      <c r="AD524" s="671"/>
      <c r="AE524" s="380"/>
      <c r="AF524" s="380"/>
      <c r="AG524" s="380"/>
      <c r="AH524" s="671"/>
      <c r="AI524" s="380"/>
      <c r="AJ524" s="583"/>
      <c r="AK524" s="583"/>
      <c r="AL524" s="511"/>
      <c r="AM524" s="584"/>
      <c r="AN524" s="584"/>
      <c r="AO524" s="584"/>
      <c r="AP524" s="671"/>
      <c r="AQ524" s="584"/>
      <c r="AR524" s="583"/>
      <c r="AS524" s="583"/>
      <c r="AT524" s="585"/>
      <c r="AU524" s="585"/>
      <c r="AV524" s="585"/>
      <c r="AW524" s="585"/>
      <c r="AX524" s="673"/>
      <c r="AY524" s="380"/>
      <c r="AZ524" s="380"/>
      <c r="BA524" s="380"/>
      <c r="BB524" s="380"/>
      <c r="BC524" s="380"/>
      <c r="BD524" s="380"/>
      <c r="BE524" s="380"/>
      <c r="BF524" s="380"/>
      <c r="BG524" s="380"/>
      <c r="BH524" s="380"/>
      <c r="BI524" s="511"/>
      <c r="BJ524" s="380"/>
      <c r="BK524" s="380"/>
      <c r="BL524" s="380"/>
      <c r="BM524" s="380"/>
      <c r="BN524" s="380"/>
      <c r="BO524" s="380"/>
      <c r="BP524" s="380"/>
      <c r="BQ524" s="380"/>
      <c r="BR524" s="380"/>
    </row>
    <row r="525" spans="1:70" ht="12.75" customHeight="1" x14ac:dyDescent="0.25">
      <c r="A525" s="380"/>
      <c r="B525" s="380"/>
      <c r="C525" s="380"/>
      <c r="D525" s="380"/>
      <c r="E525" s="511"/>
      <c r="F525" s="511"/>
      <c r="G525" s="582"/>
      <c r="H525" s="511"/>
      <c r="I525" s="511"/>
      <c r="J525" s="582"/>
      <c r="K525" s="511"/>
      <c r="L525" s="511"/>
      <c r="M525" s="582"/>
      <c r="N525" s="582"/>
      <c r="O525" s="582"/>
      <c r="P525" s="582"/>
      <c r="Q525" s="511"/>
      <c r="R525" s="511"/>
      <c r="S525" s="511"/>
      <c r="T525" s="639"/>
      <c r="U525" s="511"/>
      <c r="V525" s="511"/>
      <c r="W525" s="511"/>
      <c r="X525" s="511"/>
      <c r="Y525" s="380"/>
      <c r="Z525" s="380"/>
      <c r="AA525" s="380"/>
      <c r="AB525" s="380"/>
      <c r="AC525" s="380"/>
      <c r="AD525" s="671"/>
      <c r="AE525" s="380"/>
      <c r="AF525" s="380"/>
      <c r="AG525" s="380"/>
      <c r="AH525" s="671"/>
      <c r="AI525" s="380"/>
      <c r="AJ525" s="583"/>
      <c r="AK525" s="583"/>
      <c r="AL525" s="511"/>
      <c r="AM525" s="584"/>
      <c r="AN525" s="584"/>
      <c r="AO525" s="584"/>
      <c r="AP525" s="671"/>
      <c r="AQ525" s="584"/>
      <c r="AR525" s="583"/>
      <c r="AS525" s="583"/>
      <c r="AT525" s="585"/>
      <c r="AU525" s="585"/>
      <c r="AV525" s="585"/>
      <c r="AW525" s="585"/>
      <c r="AX525" s="673"/>
      <c r="AY525" s="380"/>
      <c r="AZ525" s="380"/>
      <c r="BA525" s="380"/>
      <c r="BB525" s="380"/>
      <c r="BC525" s="380"/>
      <c r="BD525" s="380"/>
      <c r="BE525" s="380"/>
      <c r="BF525" s="380"/>
      <c r="BG525" s="380"/>
      <c r="BH525" s="380"/>
      <c r="BI525" s="511"/>
      <c r="BJ525" s="380"/>
      <c r="BK525" s="380"/>
      <c r="BL525" s="380"/>
      <c r="BM525" s="380"/>
      <c r="BN525" s="380"/>
      <c r="BO525" s="380"/>
      <c r="BP525" s="380"/>
      <c r="BQ525" s="380"/>
      <c r="BR525" s="380"/>
    </row>
    <row r="526" spans="1:70" ht="12.75" customHeight="1" x14ac:dyDescent="0.25">
      <c r="A526" s="380"/>
      <c r="B526" s="380"/>
      <c r="C526" s="380"/>
      <c r="D526" s="380"/>
      <c r="E526" s="511"/>
      <c r="F526" s="511"/>
      <c r="G526" s="582"/>
      <c r="H526" s="511"/>
      <c r="I526" s="511"/>
      <c r="J526" s="582"/>
      <c r="K526" s="511"/>
      <c r="L526" s="511"/>
      <c r="M526" s="582"/>
      <c r="N526" s="582"/>
      <c r="O526" s="582"/>
      <c r="P526" s="582"/>
      <c r="Q526" s="511"/>
      <c r="R526" s="511"/>
      <c r="S526" s="511"/>
      <c r="T526" s="639"/>
      <c r="U526" s="511"/>
      <c r="V526" s="511"/>
      <c r="W526" s="511"/>
      <c r="X526" s="511"/>
      <c r="Y526" s="380"/>
      <c r="Z526" s="380"/>
      <c r="AA526" s="380"/>
      <c r="AB526" s="380"/>
      <c r="AC526" s="380"/>
      <c r="AD526" s="671"/>
      <c r="AE526" s="380"/>
      <c r="AF526" s="380"/>
      <c r="AG526" s="380"/>
      <c r="AH526" s="671"/>
      <c r="AI526" s="380"/>
      <c r="AJ526" s="583"/>
      <c r="AK526" s="583"/>
      <c r="AL526" s="511"/>
      <c r="AM526" s="584"/>
      <c r="AN526" s="584"/>
      <c r="AO526" s="584"/>
      <c r="AP526" s="671"/>
      <c r="AQ526" s="584"/>
      <c r="AR526" s="583"/>
      <c r="AS526" s="583"/>
      <c r="AT526" s="585"/>
      <c r="AU526" s="585"/>
      <c r="AV526" s="585"/>
      <c r="AW526" s="585"/>
      <c r="AX526" s="673"/>
      <c r="AY526" s="380"/>
      <c r="AZ526" s="380"/>
      <c r="BA526" s="380"/>
      <c r="BB526" s="380"/>
      <c r="BC526" s="380"/>
      <c r="BD526" s="380"/>
      <c r="BE526" s="380"/>
      <c r="BF526" s="380"/>
      <c r="BG526" s="380"/>
      <c r="BH526" s="380"/>
      <c r="BI526" s="511"/>
      <c r="BJ526" s="380"/>
      <c r="BK526" s="380"/>
      <c r="BL526" s="380"/>
      <c r="BM526" s="380"/>
      <c r="BN526" s="380"/>
      <c r="BO526" s="380"/>
      <c r="BP526" s="380"/>
      <c r="BQ526" s="380"/>
      <c r="BR526" s="380"/>
    </row>
    <row r="527" spans="1:70" ht="12.75" customHeight="1" x14ac:dyDescent="0.25">
      <c r="A527" s="380"/>
      <c r="B527" s="380"/>
      <c r="C527" s="380"/>
      <c r="D527" s="380"/>
      <c r="E527" s="511"/>
      <c r="F527" s="511"/>
      <c r="G527" s="582"/>
      <c r="H527" s="511"/>
      <c r="I527" s="511"/>
      <c r="J527" s="582"/>
      <c r="K527" s="511"/>
      <c r="L527" s="511"/>
      <c r="M527" s="582"/>
      <c r="N527" s="582"/>
      <c r="O527" s="582"/>
      <c r="P527" s="582"/>
      <c r="Q527" s="511"/>
      <c r="R527" s="511"/>
      <c r="S527" s="511"/>
      <c r="T527" s="639"/>
      <c r="U527" s="511"/>
      <c r="V527" s="511"/>
      <c r="W527" s="511"/>
      <c r="X527" s="511"/>
      <c r="Y527" s="380"/>
      <c r="Z527" s="380"/>
      <c r="AA527" s="380"/>
      <c r="AB527" s="380"/>
      <c r="AC527" s="380"/>
      <c r="AD527" s="671"/>
      <c r="AE527" s="380"/>
      <c r="AF527" s="380"/>
      <c r="AG527" s="380"/>
      <c r="AH527" s="671"/>
      <c r="AI527" s="380"/>
      <c r="AJ527" s="583"/>
      <c r="AK527" s="583"/>
      <c r="AL527" s="511"/>
      <c r="AM527" s="584"/>
      <c r="AN527" s="584"/>
      <c r="AO527" s="584"/>
      <c r="AP527" s="671"/>
      <c r="AQ527" s="584"/>
      <c r="AR527" s="583"/>
      <c r="AS527" s="583"/>
      <c r="AT527" s="585"/>
      <c r="AU527" s="585"/>
      <c r="AV527" s="585"/>
      <c r="AW527" s="585"/>
      <c r="AX527" s="673"/>
      <c r="AY527" s="380"/>
      <c r="AZ527" s="380"/>
      <c r="BA527" s="380"/>
      <c r="BB527" s="380"/>
      <c r="BC527" s="380"/>
      <c r="BD527" s="380"/>
      <c r="BE527" s="380"/>
      <c r="BF527" s="380"/>
      <c r="BG527" s="380"/>
      <c r="BH527" s="380"/>
      <c r="BI527" s="511"/>
      <c r="BJ527" s="380"/>
      <c r="BK527" s="380"/>
      <c r="BL527" s="380"/>
      <c r="BM527" s="380"/>
      <c r="BN527" s="380"/>
      <c r="BO527" s="380"/>
      <c r="BP527" s="380"/>
      <c r="BQ527" s="380"/>
      <c r="BR527" s="380"/>
    </row>
    <row r="528" spans="1:70" ht="12.75" customHeight="1" x14ac:dyDescent="0.25">
      <c r="A528" s="380"/>
      <c r="B528" s="380"/>
      <c r="C528" s="380"/>
      <c r="D528" s="380"/>
      <c r="E528" s="511"/>
      <c r="F528" s="511"/>
      <c r="G528" s="582"/>
      <c r="H528" s="511"/>
      <c r="I528" s="511"/>
      <c r="J528" s="582"/>
      <c r="K528" s="511"/>
      <c r="L528" s="511"/>
      <c r="M528" s="582"/>
      <c r="N528" s="582"/>
      <c r="O528" s="582"/>
      <c r="P528" s="582"/>
      <c r="Q528" s="511"/>
      <c r="R528" s="511"/>
      <c r="S528" s="511"/>
      <c r="T528" s="639"/>
      <c r="U528" s="511"/>
      <c r="V528" s="511"/>
      <c r="W528" s="511"/>
      <c r="X528" s="511"/>
      <c r="Y528" s="380"/>
      <c r="Z528" s="380"/>
      <c r="AA528" s="380"/>
      <c r="AB528" s="380"/>
      <c r="AC528" s="380"/>
      <c r="AD528" s="671"/>
      <c r="AE528" s="380"/>
      <c r="AF528" s="380"/>
      <c r="AG528" s="380"/>
      <c r="AH528" s="671"/>
      <c r="AI528" s="380"/>
      <c r="AJ528" s="583"/>
      <c r="AK528" s="583"/>
      <c r="AL528" s="511"/>
      <c r="AM528" s="584"/>
      <c r="AN528" s="584"/>
      <c r="AO528" s="584"/>
      <c r="AP528" s="671"/>
      <c r="AQ528" s="584"/>
      <c r="AR528" s="583"/>
      <c r="AS528" s="583"/>
      <c r="AT528" s="585"/>
      <c r="AU528" s="585"/>
      <c r="AV528" s="585"/>
      <c r="AW528" s="585"/>
      <c r="AX528" s="673"/>
      <c r="AY528" s="380"/>
      <c r="AZ528" s="380"/>
      <c r="BA528" s="380"/>
      <c r="BB528" s="380"/>
      <c r="BC528" s="380"/>
      <c r="BD528" s="380"/>
      <c r="BE528" s="380"/>
      <c r="BF528" s="380"/>
      <c r="BG528" s="380"/>
      <c r="BH528" s="380"/>
      <c r="BI528" s="511"/>
      <c r="BJ528" s="380"/>
      <c r="BK528" s="380"/>
      <c r="BL528" s="380"/>
      <c r="BM528" s="380"/>
      <c r="BN528" s="380"/>
      <c r="BO528" s="380"/>
      <c r="BP528" s="380"/>
      <c r="BQ528" s="380"/>
      <c r="BR528" s="380"/>
    </row>
    <row r="529" spans="1:70" ht="12.75" customHeight="1" x14ac:dyDescent="0.25">
      <c r="A529" s="380"/>
      <c r="B529" s="380"/>
      <c r="C529" s="380"/>
      <c r="D529" s="380"/>
      <c r="E529" s="511"/>
      <c r="F529" s="511"/>
      <c r="G529" s="582"/>
      <c r="H529" s="511"/>
      <c r="I529" s="511"/>
      <c r="J529" s="582"/>
      <c r="K529" s="511"/>
      <c r="L529" s="511"/>
      <c r="M529" s="582"/>
      <c r="N529" s="582"/>
      <c r="O529" s="582"/>
      <c r="P529" s="582"/>
      <c r="Q529" s="511"/>
      <c r="R529" s="511"/>
      <c r="S529" s="511"/>
      <c r="T529" s="639"/>
      <c r="U529" s="511"/>
      <c r="V529" s="511"/>
      <c r="W529" s="511"/>
      <c r="X529" s="511"/>
      <c r="Y529" s="380"/>
      <c r="Z529" s="380"/>
      <c r="AA529" s="380"/>
      <c r="AB529" s="380"/>
      <c r="AC529" s="380"/>
      <c r="AD529" s="671"/>
      <c r="AE529" s="380"/>
      <c r="AF529" s="380"/>
      <c r="AG529" s="380"/>
      <c r="AH529" s="671"/>
      <c r="AI529" s="380"/>
      <c r="AJ529" s="583"/>
      <c r="AK529" s="583"/>
      <c r="AL529" s="511"/>
      <c r="AM529" s="584"/>
      <c r="AN529" s="584"/>
      <c r="AO529" s="584"/>
      <c r="AP529" s="671"/>
      <c r="AQ529" s="584"/>
      <c r="AR529" s="583"/>
      <c r="AS529" s="583"/>
      <c r="AT529" s="585"/>
      <c r="AU529" s="585"/>
      <c r="AV529" s="585"/>
      <c r="AW529" s="585"/>
      <c r="AX529" s="673"/>
      <c r="AY529" s="380"/>
      <c r="AZ529" s="380"/>
      <c r="BA529" s="380"/>
      <c r="BB529" s="380"/>
      <c r="BC529" s="380"/>
      <c r="BD529" s="380"/>
      <c r="BE529" s="380"/>
      <c r="BF529" s="380"/>
      <c r="BG529" s="380"/>
      <c r="BH529" s="380"/>
      <c r="BI529" s="511"/>
      <c r="BJ529" s="380"/>
      <c r="BK529" s="380"/>
      <c r="BL529" s="380"/>
      <c r="BM529" s="380"/>
      <c r="BN529" s="380"/>
      <c r="BO529" s="380"/>
      <c r="BP529" s="380"/>
      <c r="BQ529" s="380"/>
      <c r="BR529" s="380"/>
    </row>
    <row r="530" spans="1:70" ht="12.75" customHeight="1" x14ac:dyDescent="0.25">
      <c r="A530" s="380"/>
      <c r="B530" s="380"/>
      <c r="C530" s="380"/>
      <c r="D530" s="380"/>
      <c r="E530" s="511"/>
      <c r="F530" s="511"/>
      <c r="G530" s="582"/>
      <c r="H530" s="511"/>
      <c r="I530" s="511"/>
      <c r="J530" s="582"/>
      <c r="K530" s="511"/>
      <c r="L530" s="511"/>
      <c r="M530" s="582"/>
      <c r="N530" s="582"/>
      <c r="O530" s="582"/>
      <c r="P530" s="582"/>
      <c r="Q530" s="511"/>
      <c r="R530" s="511"/>
      <c r="S530" s="511"/>
      <c r="T530" s="639"/>
      <c r="U530" s="511"/>
      <c r="V530" s="511"/>
      <c r="W530" s="511"/>
      <c r="X530" s="511"/>
      <c r="Y530" s="380"/>
      <c r="Z530" s="380"/>
      <c r="AA530" s="380"/>
      <c r="AB530" s="380"/>
      <c r="AC530" s="380"/>
      <c r="AD530" s="671"/>
      <c r="AE530" s="380"/>
      <c r="AF530" s="380"/>
      <c r="AG530" s="380"/>
      <c r="AH530" s="671"/>
      <c r="AI530" s="380"/>
      <c r="AJ530" s="583"/>
      <c r="AK530" s="583"/>
      <c r="AL530" s="511"/>
      <c r="AM530" s="584"/>
      <c r="AN530" s="584"/>
      <c r="AO530" s="584"/>
      <c r="AP530" s="671"/>
      <c r="AQ530" s="584"/>
      <c r="AR530" s="583"/>
      <c r="AS530" s="583"/>
      <c r="AT530" s="585"/>
      <c r="AU530" s="585"/>
      <c r="AV530" s="585"/>
      <c r="AW530" s="585"/>
      <c r="AX530" s="673"/>
      <c r="AY530" s="380"/>
      <c r="AZ530" s="380"/>
      <c r="BA530" s="380"/>
      <c r="BB530" s="380"/>
      <c r="BC530" s="380"/>
      <c r="BD530" s="380"/>
      <c r="BE530" s="380"/>
      <c r="BF530" s="380"/>
      <c r="BG530" s="380"/>
      <c r="BH530" s="380"/>
      <c r="BI530" s="511"/>
      <c r="BJ530" s="380"/>
      <c r="BK530" s="380"/>
      <c r="BL530" s="380"/>
      <c r="BM530" s="380"/>
      <c r="BN530" s="380"/>
      <c r="BO530" s="380"/>
      <c r="BP530" s="380"/>
      <c r="BQ530" s="380"/>
      <c r="BR530" s="380"/>
    </row>
    <row r="531" spans="1:70" ht="12.75" customHeight="1" x14ac:dyDescent="0.25">
      <c r="A531" s="380"/>
      <c r="B531" s="380"/>
      <c r="C531" s="380"/>
      <c r="D531" s="380"/>
      <c r="E531" s="511"/>
      <c r="F531" s="511"/>
      <c r="G531" s="582"/>
      <c r="H531" s="511"/>
      <c r="I531" s="511"/>
      <c r="J531" s="582"/>
      <c r="K531" s="511"/>
      <c r="L531" s="511"/>
      <c r="M531" s="582"/>
      <c r="N531" s="582"/>
      <c r="O531" s="582"/>
      <c r="P531" s="582"/>
      <c r="Q531" s="511"/>
      <c r="R531" s="511"/>
      <c r="S531" s="511"/>
      <c r="T531" s="639"/>
      <c r="U531" s="511"/>
      <c r="V531" s="511"/>
      <c r="W531" s="511"/>
      <c r="X531" s="511"/>
      <c r="Y531" s="380"/>
      <c r="Z531" s="380"/>
      <c r="AA531" s="380"/>
      <c r="AB531" s="380"/>
      <c r="AC531" s="380"/>
      <c r="AD531" s="671"/>
      <c r="AE531" s="380"/>
      <c r="AF531" s="380"/>
      <c r="AG531" s="380"/>
      <c r="AH531" s="671"/>
      <c r="AI531" s="380"/>
      <c r="AJ531" s="583"/>
      <c r="AK531" s="583"/>
      <c r="AL531" s="511"/>
      <c r="AM531" s="584"/>
      <c r="AN531" s="584"/>
      <c r="AO531" s="584"/>
      <c r="AP531" s="671"/>
      <c r="AQ531" s="584"/>
      <c r="AR531" s="583"/>
      <c r="AS531" s="583"/>
      <c r="AT531" s="585"/>
      <c r="AU531" s="585"/>
      <c r="AV531" s="585"/>
      <c r="AW531" s="585"/>
      <c r="AX531" s="673"/>
      <c r="AY531" s="380"/>
      <c r="AZ531" s="380"/>
      <c r="BA531" s="380"/>
      <c r="BB531" s="380"/>
      <c r="BC531" s="380"/>
      <c r="BD531" s="380"/>
      <c r="BE531" s="380"/>
      <c r="BF531" s="380"/>
      <c r="BG531" s="380"/>
      <c r="BH531" s="380"/>
      <c r="BI531" s="511"/>
      <c r="BJ531" s="380"/>
      <c r="BK531" s="380"/>
      <c r="BL531" s="380"/>
      <c r="BM531" s="380"/>
      <c r="BN531" s="380"/>
      <c r="BO531" s="380"/>
      <c r="BP531" s="380"/>
      <c r="BQ531" s="380"/>
      <c r="BR531" s="380"/>
    </row>
    <row r="532" spans="1:70" ht="12.75" customHeight="1" x14ac:dyDescent="0.25">
      <c r="A532" s="380"/>
      <c r="B532" s="380"/>
      <c r="C532" s="380"/>
      <c r="D532" s="380"/>
      <c r="E532" s="511"/>
      <c r="F532" s="511"/>
      <c r="G532" s="582"/>
      <c r="H532" s="511"/>
      <c r="I532" s="511"/>
      <c r="J532" s="582"/>
      <c r="K532" s="511"/>
      <c r="L532" s="511"/>
      <c r="M532" s="582"/>
      <c r="N532" s="582"/>
      <c r="O532" s="582"/>
      <c r="P532" s="582"/>
      <c r="Q532" s="511"/>
      <c r="R532" s="511"/>
      <c r="S532" s="511"/>
      <c r="T532" s="639"/>
      <c r="U532" s="511"/>
      <c r="V532" s="511"/>
      <c r="W532" s="511"/>
      <c r="X532" s="511"/>
      <c r="Y532" s="380"/>
      <c r="Z532" s="380"/>
      <c r="AA532" s="380"/>
      <c r="AB532" s="380"/>
      <c r="AC532" s="380"/>
      <c r="AD532" s="671"/>
      <c r="AE532" s="380"/>
      <c r="AF532" s="380"/>
      <c r="AG532" s="380"/>
      <c r="AH532" s="671"/>
      <c r="AI532" s="380"/>
      <c r="AJ532" s="583"/>
      <c r="AK532" s="583"/>
      <c r="AL532" s="511"/>
      <c r="AM532" s="584"/>
      <c r="AN532" s="584"/>
      <c r="AO532" s="584"/>
      <c r="AP532" s="671"/>
      <c r="AQ532" s="584"/>
      <c r="AR532" s="583"/>
      <c r="AS532" s="583"/>
      <c r="AT532" s="585"/>
      <c r="AU532" s="585"/>
      <c r="AV532" s="585"/>
      <c r="AW532" s="585"/>
      <c r="AX532" s="673"/>
      <c r="AY532" s="380"/>
      <c r="AZ532" s="380"/>
      <c r="BA532" s="380"/>
      <c r="BB532" s="380"/>
      <c r="BC532" s="380"/>
      <c r="BD532" s="380"/>
      <c r="BE532" s="380"/>
      <c r="BF532" s="380"/>
      <c r="BG532" s="380"/>
      <c r="BH532" s="380"/>
      <c r="BI532" s="511"/>
      <c r="BJ532" s="380"/>
      <c r="BK532" s="380"/>
      <c r="BL532" s="380"/>
      <c r="BM532" s="380"/>
      <c r="BN532" s="380"/>
      <c r="BO532" s="380"/>
      <c r="BP532" s="380"/>
      <c r="BQ532" s="380"/>
      <c r="BR532" s="380"/>
    </row>
    <row r="533" spans="1:70" ht="12.75" customHeight="1" x14ac:dyDescent="0.25">
      <c r="A533" s="380"/>
      <c r="B533" s="380"/>
      <c r="C533" s="380"/>
      <c r="D533" s="380"/>
      <c r="E533" s="511"/>
      <c r="F533" s="511"/>
      <c r="G533" s="582"/>
      <c r="H533" s="511"/>
      <c r="I533" s="511"/>
      <c r="J533" s="582"/>
      <c r="K533" s="511"/>
      <c r="L533" s="511"/>
      <c r="M533" s="582"/>
      <c r="N533" s="582"/>
      <c r="O533" s="582"/>
      <c r="P533" s="582"/>
      <c r="Q533" s="511"/>
      <c r="R533" s="511"/>
      <c r="S533" s="511"/>
      <c r="T533" s="639"/>
      <c r="U533" s="511"/>
      <c r="V533" s="511"/>
      <c r="W533" s="511"/>
      <c r="X533" s="511"/>
      <c r="Y533" s="380"/>
      <c r="Z533" s="380"/>
      <c r="AA533" s="380"/>
      <c r="AB533" s="380"/>
      <c r="AC533" s="380"/>
      <c r="AD533" s="671"/>
      <c r="AE533" s="380"/>
      <c r="AF533" s="380"/>
      <c r="AG533" s="380"/>
      <c r="AH533" s="671"/>
      <c r="AI533" s="380"/>
      <c r="AJ533" s="583"/>
      <c r="AK533" s="583"/>
      <c r="AL533" s="511"/>
      <c r="AM533" s="584"/>
      <c r="AN533" s="584"/>
      <c r="AO533" s="584"/>
      <c r="AP533" s="671"/>
      <c r="AQ533" s="584"/>
      <c r="AR533" s="583"/>
      <c r="AS533" s="583"/>
      <c r="AT533" s="585"/>
      <c r="AU533" s="585"/>
      <c r="AV533" s="585"/>
      <c r="AW533" s="585"/>
      <c r="AX533" s="673"/>
      <c r="AY533" s="380"/>
      <c r="AZ533" s="380"/>
      <c r="BA533" s="380"/>
      <c r="BB533" s="380"/>
      <c r="BC533" s="380"/>
      <c r="BD533" s="380"/>
      <c r="BE533" s="380"/>
      <c r="BF533" s="380"/>
      <c r="BG533" s="380"/>
      <c r="BH533" s="380"/>
      <c r="BI533" s="511"/>
      <c r="BJ533" s="380"/>
      <c r="BK533" s="380"/>
      <c r="BL533" s="380"/>
      <c r="BM533" s="380"/>
      <c r="BN533" s="380"/>
      <c r="BO533" s="380"/>
      <c r="BP533" s="380"/>
      <c r="BQ533" s="380"/>
      <c r="BR533" s="380"/>
    </row>
    <row r="534" spans="1:70" ht="12.75" customHeight="1" x14ac:dyDescent="0.25">
      <c r="A534" s="380"/>
      <c r="B534" s="380"/>
      <c r="C534" s="380"/>
      <c r="D534" s="380"/>
      <c r="E534" s="511"/>
      <c r="F534" s="511"/>
      <c r="G534" s="582"/>
      <c r="H534" s="511"/>
      <c r="I534" s="511"/>
      <c r="J534" s="582"/>
      <c r="K534" s="511"/>
      <c r="L534" s="511"/>
      <c r="M534" s="582"/>
      <c r="N534" s="582"/>
      <c r="O534" s="582"/>
      <c r="P534" s="582"/>
      <c r="Q534" s="511"/>
      <c r="R534" s="511"/>
      <c r="S534" s="511"/>
      <c r="T534" s="639"/>
      <c r="U534" s="511"/>
      <c r="V534" s="511"/>
      <c r="W534" s="511"/>
      <c r="X534" s="511"/>
      <c r="Y534" s="380"/>
      <c r="Z534" s="380"/>
      <c r="AA534" s="380"/>
      <c r="AB534" s="380"/>
      <c r="AC534" s="380"/>
      <c r="AD534" s="671"/>
      <c r="AE534" s="380"/>
      <c r="AF534" s="380"/>
      <c r="AG534" s="380"/>
      <c r="AH534" s="671"/>
      <c r="AI534" s="380"/>
      <c r="AJ534" s="583"/>
      <c r="AK534" s="583"/>
      <c r="AL534" s="511"/>
      <c r="AM534" s="584"/>
      <c r="AN534" s="584"/>
      <c r="AO534" s="584"/>
      <c r="AP534" s="671"/>
      <c r="AQ534" s="584"/>
      <c r="AR534" s="583"/>
      <c r="AS534" s="583"/>
      <c r="AT534" s="585"/>
      <c r="AU534" s="585"/>
      <c r="AV534" s="585"/>
      <c r="AW534" s="585"/>
      <c r="AX534" s="673"/>
      <c r="AY534" s="380"/>
      <c r="AZ534" s="380"/>
      <c r="BA534" s="380"/>
      <c r="BB534" s="380"/>
      <c r="BC534" s="380"/>
      <c r="BD534" s="380"/>
      <c r="BE534" s="380"/>
      <c r="BF534" s="380"/>
      <c r="BG534" s="380"/>
      <c r="BH534" s="380"/>
      <c r="BI534" s="511"/>
      <c r="BJ534" s="380"/>
      <c r="BK534" s="380"/>
      <c r="BL534" s="380"/>
      <c r="BM534" s="380"/>
      <c r="BN534" s="380"/>
      <c r="BO534" s="380"/>
      <c r="BP534" s="380"/>
      <c r="BQ534" s="380"/>
      <c r="BR534" s="380"/>
    </row>
    <row r="535" spans="1:70" ht="12.75" customHeight="1" x14ac:dyDescent="0.25">
      <c r="A535" s="380"/>
      <c r="B535" s="380"/>
      <c r="C535" s="380"/>
      <c r="D535" s="380"/>
      <c r="E535" s="511"/>
      <c r="F535" s="511"/>
      <c r="G535" s="582"/>
      <c r="H535" s="511"/>
      <c r="I535" s="511"/>
      <c r="J535" s="582"/>
      <c r="K535" s="511"/>
      <c r="L535" s="511"/>
      <c r="M535" s="582"/>
      <c r="N535" s="582"/>
      <c r="O535" s="582"/>
      <c r="P535" s="582"/>
      <c r="Q535" s="511"/>
      <c r="R535" s="511"/>
      <c r="S535" s="511"/>
      <c r="T535" s="639"/>
      <c r="U535" s="511"/>
      <c r="V535" s="511"/>
      <c r="W535" s="511"/>
      <c r="X535" s="511"/>
      <c r="Y535" s="380"/>
      <c r="Z535" s="380"/>
      <c r="AA535" s="380"/>
      <c r="AB535" s="380"/>
      <c r="AC535" s="380"/>
      <c r="AD535" s="671"/>
      <c r="AE535" s="380"/>
      <c r="AF535" s="380"/>
      <c r="AG535" s="380"/>
      <c r="AH535" s="671"/>
      <c r="AI535" s="380"/>
      <c r="AJ535" s="583"/>
      <c r="AK535" s="583"/>
      <c r="AL535" s="511"/>
      <c r="AM535" s="584"/>
      <c r="AN535" s="584"/>
      <c r="AO535" s="584"/>
      <c r="AP535" s="671"/>
      <c r="AQ535" s="584"/>
      <c r="AR535" s="583"/>
      <c r="AS535" s="583"/>
      <c r="AT535" s="585"/>
      <c r="AU535" s="585"/>
      <c r="AV535" s="585"/>
      <c r="AW535" s="585"/>
      <c r="AX535" s="673"/>
      <c r="AY535" s="380"/>
      <c r="AZ535" s="380"/>
      <c r="BA535" s="380"/>
      <c r="BB535" s="380"/>
      <c r="BC535" s="380"/>
      <c r="BD535" s="380"/>
      <c r="BE535" s="380"/>
      <c r="BF535" s="380"/>
      <c r="BG535" s="380"/>
      <c r="BH535" s="380"/>
      <c r="BI535" s="511"/>
      <c r="BJ535" s="380"/>
      <c r="BK535" s="380"/>
      <c r="BL535" s="380"/>
      <c r="BM535" s="380"/>
      <c r="BN535" s="380"/>
      <c r="BO535" s="380"/>
      <c r="BP535" s="380"/>
      <c r="BQ535" s="380"/>
      <c r="BR535" s="380"/>
    </row>
    <row r="536" spans="1:70" ht="12.75" customHeight="1" x14ac:dyDescent="0.25">
      <c r="A536" s="380"/>
      <c r="B536" s="380"/>
      <c r="C536" s="380"/>
      <c r="D536" s="380"/>
      <c r="E536" s="511"/>
      <c r="F536" s="511"/>
      <c r="G536" s="582"/>
      <c r="H536" s="511"/>
      <c r="I536" s="511"/>
      <c r="J536" s="582"/>
      <c r="K536" s="511"/>
      <c r="L536" s="511"/>
      <c r="M536" s="582"/>
      <c r="N536" s="582"/>
      <c r="O536" s="582"/>
      <c r="P536" s="582"/>
      <c r="Q536" s="511"/>
      <c r="R536" s="511"/>
      <c r="S536" s="511"/>
      <c r="T536" s="639"/>
      <c r="U536" s="511"/>
      <c r="V536" s="511"/>
      <c r="W536" s="511"/>
      <c r="X536" s="511"/>
      <c r="Y536" s="380"/>
      <c r="Z536" s="380"/>
      <c r="AA536" s="380"/>
      <c r="AB536" s="380"/>
      <c r="AC536" s="380"/>
      <c r="AD536" s="671"/>
      <c r="AE536" s="380"/>
      <c r="AF536" s="380"/>
      <c r="AG536" s="380"/>
      <c r="AH536" s="671"/>
      <c r="AI536" s="380"/>
      <c r="AJ536" s="583"/>
      <c r="AK536" s="583"/>
      <c r="AL536" s="511"/>
      <c r="AM536" s="584"/>
      <c r="AN536" s="584"/>
      <c r="AO536" s="584"/>
      <c r="AP536" s="671"/>
      <c r="AQ536" s="584"/>
      <c r="AR536" s="583"/>
      <c r="AS536" s="583"/>
      <c r="AT536" s="585"/>
      <c r="AU536" s="585"/>
      <c r="AV536" s="585"/>
      <c r="AW536" s="585"/>
      <c r="AX536" s="673"/>
      <c r="AY536" s="380"/>
      <c r="AZ536" s="380"/>
      <c r="BA536" s="380"/>
      <c r="BB536" s="380"/>
      <c r="BC536" s="380"/>
      <c r="BD536" s="380"/>
      <c r="BE536" s="380"/>
      <c r="BF536" s="380"/>
      <c r="BG536" s="380"/>
      <c r="BH536" s="380"/>
      <c r="BI536" s="511"/>
      <c r="BJ536" s="380"/>
      <c r="BK536" s="380"/>
      <c r="BL536" s="380"/>
      <c r="BM536" s="380"/>
      <c r="BN536" s="380"/>
      <c r="BO536" s="380"/>
      <c r="BP536" s="380"/>
      <c r="BQ536" s="380"/>
      <c r="BR536" s="380"/>
    </row>
    <row r="537" spans="1:70" ht="12.75" customHeight="1" x14ac:dyDescent="0.25">
      <c r="A537" s="380"/>
      <c r="B537" s="380"/>
      <c r="C537" s="380"/>
      <c r="D537" s="380"/>
      <c r="E537" s="511"/>
      <c r="F537" s="511"/>
      <c r="G537" s="582"/>
      <c r="H537" s="511"/>
      <c r="I537" s="511"/>
      <c r="J537" s="582"/>
      <c r="K537" s="511"/>
      <c r="L537" s="511"/>
      <c r="M537" s="582"/>
      <c r="N537" s="582"/>
      <c r="O537" s="582"/>
      <c r="P537" s="582"/>
      <c r="Q537" s="511"/>
      <c r="R537" s="511"/>
      <c r="S537" s="511"/>
      <c r="T537" s="639"/>
      <c r="U537" s="511"/>
      <c r="V537" s="511"/>
      <c r="W537" s="511"/>
      <c r="X537" s="511"/>
      <c r="Y537" s="380"/>
      <c r="Z537" s="380"/>
      <c r="AA537" s="380"/>
      <c r="AB537" s="380"/>
      <c r="AC537" s="380"/>
      <c r="AD537" s="671"/>
      <c r="AE537" s="380"/>
      <c r="AF537" s="380"/>
      <c r="AG537" s="380"/>
      <c r="AH537" s="671"/>
      <c r="AI537" s="380"/>
      <c r="AJ537" s="583"/>
      <c r="AK537" s="583"/>
      <c r="AL537" s="511"/>
      <c r="AM537" s="584"/>
      <c r="AN537" s="584"/>
      <c r="AO537" s="584"/>
      <c r="AP537" s="671"/>
      <c r="AQ537" s="584"/>
      <c r="AR537" s="583"/>
      <c r="AS537" s="583"/>
      <c r="AT537" s="585"/>
      <c r="AU537" s="585"/>
      <c r="AV537" s="585"/>
      <c r="AW537" s="585"/>
      <c r="AX537" s="673"/>
      <c r="AY537" s="380"/>
      <c r="AZ537" s="380"/>
      <c r="BA537" s="380"/>
      <c r="BB537" s="380"/>
      <c r="BC537" s="380"/>
      <c r="BD537" s="380"/>
      <c r="BE537" s="380"/>
      <c r="BF537" s="380"/>
      <c r="BG537" s="380"/>
      <c r="BH537" s="380"/>
      <c r="BI537" s="511"/>
      <c r="BJ537" s="380"/>
      <c r="BK537" s="380"/>
      <c r="BL537" s="380"/>
      <c r="BM537" s="380"/>
      <c r="BN537" s="380"/>
      <c r="BO537" s="380"/>
      <c r="BP537" s="380"/>
      <c r="BQ537" s="380"/>
      <c r="BR537" s="380"/>
    </row>
    <row r="538" spans="1:70" ht="12.75" customHeight="1" x14ac:dyDescent="0.25">
      <c r="A538" s="380"/>
      <c r="B538" s="380"/>
      <c r="C538" s="380"/>
      <c r="D538" s="380"/>
      <c r="E538" s="511"/>
      <c r="F538" s="511"/>
      <c r="G538" s="582"/>
      <c r="H538" s="511"/>
      <c r="I538" s="511"/>
      <c r="J538" s="582"/>
      <c r="K538" s="511"/>
      <c r="L538" s="511"/>
      <c r="M538" s="582"/>
      <c r="N538" s="582"/>
      <c r="O538" s="582"/>
      <c r="P538" s="582"/>
      <c r="Q538" s="511"/>
      <c r="R538" s="511"/>
      <c r="S538" s="511"/>
      <c r="T538" s="639"/>
      <c r="U538" s="511"/>
      <c r="V538" s="511"/>
      <c r="W538" s="511"/>
      <c r="X538" s="511"/>
      <c r="Y538" s="380"/>
      <c r="Z538" s="380"/>
      <c r="AA538" s="380"/>
      <c r="AB538" s="380"/>
      <c r="AC538" s="380"/>
      <c r="AD538" s="671"/>
      <c r="AE538" s="380"/>
      <c r="AF538" s="380"/>
      <c r="AG538" s="380"/>
      <c r="AH538" s="671"/>
      <c r="AI538" s="380"/>
      <c r="AJ538" s="583"/>
      <c r="AK538" s="583"/>
      <c r="AL538" s="511"/>
      <c r="AM538" s="584"/>
      <c r="AN538" s="584"/>
      <c r="AO538" s="584"/>
      <c r="AP538" s="671"/>
      <c r="AQ538" s="584"/>
      <c r="AR538" s="583"/>
      <c r="AS538" s="583"/>
      <c r="AT538" s="585"/>
      <c r="AU538" s="585"/>
      <c r="AV538" s="585"/>
      <c r="AW538" s="585"/>
      <c r="AX538" s="673"/>
      <c r="AY538" s="380"/>
      <c r="AZ538" s="380"/>
      <c r="BA538" s="380"/>
      <c r="BB538" s="380"/>
      <c r="BC538" s="380"/>
      <c r="BD538" s="380"/>
      <c r="BE538" s="380"/>
      <c r="BF538" s="380"/>
      <c r="BG538" s="380"/>
      <c r="BH538" s="380"/>
      <c r="BI538" s="511"/>
      <c r="BJ538" s="380"/>
      <c r="BK538" s="380"/>
      <c r="BL538" s="380"/>
      <c r="BM538" s="380"/>
      <c r="BN538" s="380"/>
      <c r="BO538" s="380"/>
      <c r="BP538" s="380"/>
      <c r="BQ538" s="380"/>
      <c r="BR538" s="380"/>
    </row>
    <row r="539" spans="1:70" ht="12.75" customHeight="1" x14ac:dyDescent="0.25">
      <c r="A539" s="380"/>
      <c r="B539" s="380"/>
      <c r="C539" s="380"/>
      <c r="D539" s="380"/>
      <c r="E539" s="511"/>
      <c r="F539" s="511"/>
      <c r="G539" s="582"/>
      <c r="H539" s="511"/>
      <c r="I539" s="511"/>
      <c r="J539" s="582"/>
      <c r="K539" s="511"/>
      <c r="L539" s="511"/>
      <c r="M539" s="582"/>
      <c r="N539" s="582"/>
      <c r="O539" s="582"/>
      <c r="P539" s="582"/>
      <c r="Q539" s="511"/>
      <c r="R539" s="511"/>
      <c r="S539" s="511"/>
      <c r="T539" s="639"/>
      <c r="U539" s="511"/>
      <c r="V539" s="511"/>
      <c r="W539" s="511"/>
      <c r="X539" s="511"/>
      <c r="Y539" s="380"/>
      <c r="Z539" s="380"/>
      <c r="AA539" s="380"/>
      <c r="AB539" s="380"/>
      <c r="AC539" s="380"/>
      <c r="AD539" s="671"/>
      <c r="AE539" s="380"/>
      <c r="AF539" s="380"/>
      <c r="AG539" s="380"/>
      <c r="AH539" s="671"/>
      <c r="AI539" s="380"/>
      <c r="AJ539" s="583"/>
      <c r="AK539" s="583"/>
      <c r="AL539" s="511"/>
      <c r="AM539" s="584"/>
      <c r="AN539" s="584"/>
      <c r="AO539" s="584"/>
      <c r="AP539" s="671"/>
      <c r="AQ539" s="584"/>
      <c r="AR539" s="583"/>
      <c r="AS539" s="583"/>
      <c r="AT539" s="585"/>
      <c r="AU539" s="585"/>
      <c r="AV539" s="585"/>
      <c r="AW539" s="585"/>
      <c r="AX539" s="673"/>
      <c r="AY539" s="380"/>
      <c r="AZ539" s="380"/>
      <c r="BA539" s="380"/>
      <c r="BB539" s="380"/>
      <c r="BC539" s="380"/>
      <c r="BD539" s="380"/>
      <c r="BE539" s="380"/>
      <c r="BF539" s="380"/>
      <c r="BG539" s="380"/>
      <c r="BH539" s="380"/>
      <c r="BI539" s="511"/>
      <c r="BJ539" s="380"/>
      <c r="BK539" s="380"/>
      <c r="BL539" s="380"/>
      <c r="BM539" s="380"/>
      <c r="BN539" s="380"/>
      <c r="BO539" s="380"/>
      <c r="BP539" s="380"/>
      <c r="BQ539" s="380"/>
      <c r="BR539" s="380"/>
    </row>
    <row r="540" spans="1:70" ht="12.75" customHeight="1" x14ac:dyDescent="0.25">
      <c r="A540" s="380"/>
      <c r="B540" s="380"/>
      <c r="C540" s="380"/>
      <c r="D540" s="380"/>
      <c r="E540" s="511"/>
      <c r="F540" s="511"/>
      <c r="G540" s="582"/>
      <c r="H540" s="511"/>
      <c r="I540" s="511"/>
      <c r="J540" s="582"/>
      <c r="K540" s="511"/>
      <c r="L540" s="511"/>
      <c r="M540" s="582"/>
      <c r="N540" s="582"/>
      <c r="O540" s="582"/>
      <c r="P540" s="582"/>
      <c r="Q540" s="511"/>
      <c r="R540" s="511"/>
      <c r="S540" s="511"/>
      <c r="T540" s="639"/>
      <c r="U540" s="511"/>
      <c r="V540" s="511"/>
      <c r="W540" s="511"/>
      <c r="X540" s="511"/>
      <c r="Y540" s="380"/>
      <c r="Z540" s="380"/>
      <c r="AA540" s="380"/>
      <c r="AB540" s="380"/>
      <c r="AC540" s="380"/>
      <c r="AD540" s="671"/>
      <c r="AE540" s="380"/>
      <c r="AF540" s="380"/>
      <c r="AG540" s="380"/>
      <c r="AH540" s="671"/>
      <c r="AI540" s="380"/>
      <c r="AJ540" s="583"/>
      <c r="AK540" s="583"/>
      <c r="AL540" s="511"/>
      <c r="AM540" s="584"/>
      <c r="AN540" s="584"/>
      <c r="AO540" s="584"/>
      <c r="AP540" s="671"/>
      <c r="AQ540" s="584"/>
      <c r="AR540" s="583"/>
      <c r="AS540" s="583"/>
      <c r="AT540" s="585"/>
      <c r="AU540" s="585"/>
      <c r="AV540" s="585"/>
      <c r="AW540" s="585"/>
      <c r="AX540" s="673"/>
      <c r="AY540" s="380"/>
      <c r="AZ540" s="380"/>
      <c r="BA540" s="380"/>
      <c r="BB540" s="380"/>
      <c r="BC540" s="380"/>
      <c r="BD540" s="380"/>
      <c r="BE540" s="380"/>
      <c r="BF540" s="380"/>
      <c r="BG540" s="380"/>
      <c r="BH540" s="380"/>
      <c r="BI540" s="511"/>
      <c r="BJ540" s="380"/>
      <c r="BK540" s="380"/>
      <c r="BL540" s="380"/>
      <c r="BM540" s="380"/>
      <c r="BN540" s="380"/>
      <c r="BO540" s="380"/>
      <c r="BP540" s="380"/>
      <c r="BQ540" s="380"/>
      <c r="BR540" s="380"/>
    </row>
    <row r="541" spans="1:70" ht="12.75" customHeight="1" x14ac:dyDescent="0.25">
      <c r="A541" s="380"/>
      <c r="B541" s="380"/>
      <c r="C541" s="380"/>
      <c r="D541" s="380"/>
      <c r="E541" s="511"/>
      <c r="F541" s="511"/>
      <c r="G541" s="582"/>
      <c r="H541" s="511"/>
      <c r="I541" s="511"/>
      <c r="J541" s="582"/>
      <c r="K541" s="511"/>
      <c r="L541" s="511"/>
      <c r="M541" s="582"/>
      <c r="N541" s="582"/>
      <c r="O541" s="582"/>
      <c r="P541" s="582"/>
      <c r="Q541" s="511"/>
      <c r="R541" s="511"/>
      <c r="S541" s="511"/>
      <c r="T541" s="639"/>
      <c r="U541" s="511"/>
      <c r="V541" s="511"/>
      <c r="W541" s="511"/>
      <c r="X541" s="511"/>
      <c r="Y541" s="380"/>
      <c r="Z541" s="380"/>
      <c r="AA541" s="380"/>
      <c r="AB541" s="380"/>
      <c r="AC541" s="380"/>
      <c r="AD541" s="671"/>
      <c r="AE541" s="380"/>
      <c r="AF541" s="380"/>
      <c r="AG541" s="380"/>
      <c r="AH541" s="671"/>
      <c r="AI541" s="380"/>
      <c r="AJ541" s="583"/>
      <c r="AK541" s="583"/>
      <c r="AL541" s="511"/>
      <c r="AM541" s="584"/>
      <c r="AN541" s="584"/>
      <c r="AO541" s="584"/>
      <c r="AP541" s="671"/>
      <c r="AQ541" s="584"/>
      <c r="AR541" s="583"/>
      <c r="AS541" s="583"/>
      <c r="AT541" s="585"/>
      <c r="AU541" s="585"/>
      <c r="AV541" s="585"/>
      <c r="AW541" s="585"/>
      <c r="AX541" s="673"/>
      <c r="AY541" s="380"/>
      <c r="AZ541" s="380"/>
      <c r="BA541" s="380"/>
      <c r="BB541" s="380"/>
      <c r="BC541" s="380"/>
      <c r="BD541" s="380"/>
      <c r="BE541" s="380"/>
      <c r="BF541" s="380"/>
      <c r="BG541" s="380"/>
      <c r="BH541" s="380"/>
      <c r="BI541" s="511"/>
      <c r="BJ541" s="380"/>
      <c r="BK541" s="380"/>
      <c r="BL541" s="380"/>
      <c r="BM541" s="380"/>
      <c r="BN541" s="380"/>
      <c r="BO541" s="380"/>
      <c r="BP541" s="380"/>
      <c r="BQ541" s="380"/>
      <c r="BR541" s="380"/>
    </row>
    <row r="542" spans="1:70" ht="12.75" customHeight="1" x14ac:dyDescent="0.25">
      <c r="A542" s="380"/>
      <c r="B542" s="380"/>
      <c r="C542" s="380"/>
      <c r="D542" s="380"/>
      <c r="E542" s="511"/>
      <c r="F542" s="511"/>
      <c r="G542" s="582"/>
      <c r="H542" s="511"/>
      <c r="I542" s="511"/>
      <c r="J542" s="582"/>
      <c r="K542" s="511"/>
      <c r="L542" s="511"/>
      <c r="M542" s="582"/>
      <c r="N542" s="582"/>
      <c r="O542" s="582"/>
      <c r="P542" s="582"/>
      <c r="Q542" s="511"/>
      <c r="R542" s="511"/>
      <c r="S542" s="511"/>
      <c r="T542" s="639"/>
      <c r="U542" s="511"/>
      <c r="V542" s="511"/>
      <c r="W542" s="511"/>
      <c r="X542" s="511"/>
      <c r="Y542" s="380"/>
      <c r="Z542" s="380"/>
      <c r="AA542" s="380"/>
      <c r="AB542" s="380"/>
      <c r="AC542" s="380"/>
      <c r="AD542" s="671"/>
      <c r="AE542" s="380"/>
      <c r="AF542" s="380"/>
      <c r="AG542" s="380"/>
      <c r="AH542" s="671"/>
      <c r="AI542" s="380"/>
      <c r="AJ542" s="583"/>
      <c r="AK542" s="583"/>
      <c r="AL542" s="511"/>
      <c r="AM542" s="584"/>
      <c r="AN542" s="584"/>
      <c r="AO542" s="584"/>
      <c r="AP542" s="671"/>
      <c r="AQ542" s="584"/>
      <c r="AR542" s="583"/>
      <c r="AS542" s="583"/>
      <c r="AT542" s="585"/>
      <c r="AU542" s="585"/>
      <c r="AV542" s="585"/>
      <c r="AW542" s="585"/>
      <c r="AX542" s="673"/>
      <c r="AY542" s="380"/>
      <c r="AZ542" s="380"/>
      <c r="BA542" s="380"/>
      <c r="BB542" s="380"/>
      <c r="BC542" s="380"/>
      <c r="BD542" s="380"/>
      <c r="BE542" s="380"/>
      <c r="BF542" s="380"/>
      <c r="BG542" s="380"/>
      <c r="BH542" s="380"/>
      <c r="BI542" s="511"/>
      <c r="BJ542" s="380"/>
      <c r="BK542" s="380"/>
      <c r="BL542" s="380"/>
      <c r="BM542" s="380"/>
      <c r="BN542" s="380"/>
      <c r="BO542" s="380"/>
      <c r="BP542" s="380"/>
      <c r="BQ542" s="380"/>
      <c r="BR542" s="380"/>
    </row>
    <row r="543" spans="1:70" ht="12.75" customHeight="1" x14ac:dyDescent="0.25">
      <c r="A543" s="380"/>
      <c r="B543" s="380"/>
      <c r="C543" s="380"/>
      <c r="D543" s="380"/>
      <c r="E543" s="511"/>
      <c r="F543" s="511"/>
      <c r="G543" s="582"/>
      <c r="H543" s="511"/>
      <c r="I543" s="511"/>
      <c r="J543" s="582"/>
      <c r="K543" s="511"/>
      <c r="L543" s="511"/>
      <c r="M543" s="582"/>
      <c r="N543" s="582"/>
      <c r="O543" s="582"/>
      <c r="P543" s="582"/>
      <c r="Q543" s="511"/>
      <c r="R543" s="511"/>
      <c r="S543" s="511"/>
      <c r="T543" s="639"/>
      <c r="U543" s="511"/>
      <c r="V543" s="511"/>
      <c r="W543" s="511"/>
      <c r="X543" s="511"/>
      <c r="Y543" s="380"/>
      <c r="Z543" s="380"/>
      <c r="AA543" s="380"/>
      <c r="AB543" s="380"/>
      <c r="AC543" s="380"/>
      <c r="AD543" s="671"/>
      <c r="AE543" s="380"/>
      <c r="AF543" s="380"/>
      <c r="AG543" s="380"/>
      <c r="AH543" s="671"/>
      <c r="AI543" s="380"/>
      <c r="AJ543" s="583"/>
      <c r="AK543" s="583"/>
      <c r="AL543" s="511"/>
      <c r="AM543" s="584"/>
      <c r="AN543" s="584"/>
      <c r="AO543" s="584"/>
      <c r="AP543" s="671"/>
      <c r="AQ543" s="584"/>
      <c r="AR543" s="583"/>
      <c r="AS543" s="583"/>
      <c r="AT543" s="585"/>
      <c r="AU543" s="585"/>
      <c r="AV543" s="585"/>
      <c r="AW543" s="585"/>
      <c r="AX543" s="673"/>
      <c r="AY543" s="380"/>
      <c r="AZ543" s="380"/>
      <c r="BA543" s="380"/>
      <c r="BB543" s="380"/>
      <c r="BC543" s="380"/>
      <c r="BD543" s="380"/>
      <c r="BE543" s="380"/>
      <c r="BF543" s="380"/>
      <c r="BG543" s="380"/>
      <c r="BH543" s="380"/>
      <c r="BI543" s="511"/>
      <c r="BJ543" s="380"/>
      <c r="BK543" s="380"/>
      <c r="BL543" s="380"/>
      <c r="BM543" s="380"/>
      <c r="BN543" s="380"/>
      <c r="BO543" s="380"/>
      <c r="BP543" s="380"/>
      <c r="BQ543" s="380"/>
      <c r="BR543" s="380"/>
    </row>
    <row r="544" spans="1:70" ht="12.75" customHeight="1" x14ac:dyDescent="0.25">
      <c r="A544" s="380"/>
      <c r="B544" s="380"/>
      <c r="C544" s="380"/>
      <c r="D544" s="380"/>
      <c r="E544" s="511"/>
      <c r="F544" s="511"/>
      <c r="G544" s="582"/>
      <c r="H544" s="511"/>
      <c r="I544" s="511"/>
      <c r="J544" s="582"/>
      <c r="K544" s="511"/>
      <c r="L544" s="511"/>
      <c r="M544" s="582"/>
      <c r="N544" s="582"/>
      <c r="O544" s="582"/>
      <c r="P544" s="582"/>
      <c r="Q544" s="511"/>
      <c r="R544" s="511"/>
      <c r="S544" s="511"/>
      <c r="T544" s="639"/>
      <c r="U544" s="511"/>
      <c r="V544" s="511"/>
      <c r="W544" s="511"/>
      <c r="X544" s="511"/>
      <c r="Y544" s="380"/>
      <c r="Z544" s="380"/>
      <c r="AA544" s="380"/>
      <c r="AB544" s="380"/>
      <c r="AC544" s="380"/>
      <c r="AD544" s="671"/>
      <c r="AE544" s="380"/>
      <c r="AF544" s="380"/>
      <c r="AG544" s="380"/>
      <c r="AH544" s="671"/>
      <c r="AI544" s="380"/>
      <c r="AJ544" s="583"/>
      <c r="AK544" s="583"/>
      <c r="AL544" s="511"/>
      <c r="AM544" s="584"/>
      <c r="AN544" s="584"/>
      <c r="AO544" s="584"/>
      <c r="AP544" s="671"/>
      <c r="AQ544" s="584"/>
      <c r="AR544" s="583"/>
      <c r="AS544" s="583"/>
      <c r="AT544" s="585"/>
      <c r="AU544" s="585"/>
      <c r="AV544" s="585"/>
      <c r="AW544" s="585"/>
      <c r="AX544" s="673"/>
      <c r="AY544" s="380"/>
      <c r="AZ544" s="380"/>
      <c r="BA544" s="380"/>
      <c r="BB544" s="380"/>
      <c r="BC544" s="380"/>
      <c r="BD544" s="380"/>
      <c r="BE544" s="380"/>
      <c r="BF544" s="380"/>
      <c r="BG544" s="380"/>
      <c r="BH544" s="380"/>
      <c r="BI544" s="511"/>
      <c r="BJ544" s="380"/>
      <c r="BK544" s="380"/>
      <c r="BL544" s="380"/>
      <c r="BM544" s="380"/>
      <c r="BN544" s="380"/>
      <c r="BO544" s="380"/>
      <c r="BP544" s="380"/>
      <c r="BQ544" s="380"/>
      <c r="BR544" s="380"/>
    </row>
    <row r="545" spans="1:70" ht="12.75" customHeight="1" x14ac:dyDescent="0.25">
      <c r="A545" s="380"/>
      <c r="B545" s="380"/>
      <c r="C545" s="380"/>
      <c r="D545" s="380"/>
      <c r="E545" s="511"/>
      <c r="F545" s="511"/>
      <c r="G545" s="582"/>
      <c r="H545" s="511"/>
      <c r="I545" s="511"/>
      <c r="J545" s="582"/>
      <c r="K545" s="511"/>
      <c r="L545" s="511"/>
      <c r="M545" s="582"/>
      <c r="N545" s="582"/>
      <c r="O545" s="582"/>
      <c r="P545" s="582"/>
      <c r="Q545" s="511"/>
      <c r="R545" s="511"/>
      <c r="S545" s="511"/>
      <c r="T545" s="639"/>
      <c r="U545" s="511"/>
      <c r="V545" s="511"/>
      <c r="W545" s="511"/>
      <c r="X545" s="511"/>
      <c r="Y545" s="380"/>
      <c r="Z545" s="380"/>
      <c r="AA545" s="380"/>
      <c r="AB545" s="380"/>
      <c r="AC545" s="380"/>
      <c r="AD545" s="671"/>
      <c r="AE545" s="380"/>
      <c r="AF545" s="380"/>
      <c r="AG545" s="380"/>
      <c r="AH545" s="671"/>
      <c r="AI545" s="380"/>
      <c r="AJ545" s="583"/>
      <c r="AK545" s="583"/>
      <c r="AL545" s="511"/>
      <c r="AM545" s="584"/>
      <c r="AN545" s="584"/>
      <c r="AO545" s="584"/>
      <c r="AP545" s="671"/>
      <c r="AQ545" s="584"/>
      <c r="AR545" s="583"/>
      <c r="AS545" s="583"/>
      <c r="AT545" s="585"/>
      <c r="AU545" s="585"/>
      <c r="AV545" s="585"/>
      <c r="AW545" s="585"/>
      <c r="AX545" s="673"/>
      <c r="AY545" s="380"/>
      <c r="AZ545" s="380"/>
      <c r="BA545" s="380"/>
      <c r="BB545" s="380"/>
      <c r="BC545" s="380"/>
      <c r="BD545" s="380"/>
      <c r="BE545" s="380"/>
      <c r="BF545" s="380"/>
      <c r="BG545" s="380"/>
      <c r="BH545" s="380"/>
      <c r="BI545" s="511"/>
      <c r="BJ545" s="380"/>
      <c r="BK545" s="380"/>
      <c r="BL545" s="380"/>
      <c r="BM545" s="380"/>
      <c r="BN545" s="380"/>
      <c r="BO545" s="380"/>
      <c r="BP545" s="380"/>
      <c r="BQ545" s="380"/>
      <c r="BR545" s="380"/>
    </row>
    <row r="546" spans="1:70" ht="12.75" customHeight="1" x14ac:dyDescent="0.25">
      <c r="A546" s="380"/>
      <c r="B546" s="380"/>
      <c r="C546" s="380"/>
      <c r="D546" s="380"/>
      <c r="E546" s="511"/>
      <c r="F546" s="511"/>
      <c r="G546" s="582"/>
      <c r="H546" s="511"/>
      <c r="I546" s="511"/>
      <c r="J546" s="582"/>
      <c r="K546" s="511"/>
      <c r="L546" s="511"/>
      <c r="M546" s="582"/>
      <c r="N546" s="582"/>
      <c r="O546" s="582"/>
      <c r="P546" s="582"/>
      <c r="Q546" s="511"/>
      <c r="R546" s="511"/>
      <c r="S546" s="511"/>
      <c r="T546" s="639"/>
      <c r="U546" s="511"/>
      <c r="V546" s="511"/>
      <c r="W546" s="511"/>
      <c r="X546" s="511"/>
      <c r="Y546" s="380"/>
      <c r="Z546" s="380"/>
      <c r="AA546" s="380"/>
      <c r="AB546" s="380"/>
      <c r="AC546" s="380"/>
      <c r="AD546" s="671"/>
      <c r="AE546" s="380"/>
      <c r="AF546" s="380"/>
      <c r="AG546" s="380"/>
      <c r="AH546" s="671"/>
      <c r="AI546" s="380"/>
      <c r="AJ546" s="583"/>
      <c r="AK546" s="583"/>
      <c r="AL546" s="511"/>
      <c r="AM546" s="584"/>
      <c r="AN546" s="584"/>
      <c r="AO546" s="584"/>
      <c r="AP546" s="671"/>
      <c r="AQ546" s="584"/>
      <c r="AR546" s="583"/>
      <c r="AS546" s="583"/>
      <c r="AT546" s="585"/>
      <c r="AU546" s="585"/>
      <c r="AV546" s="585"/>
      <c r="AW546" s="585"/>
      <c r="AX546" s="673"/>
      <c r="AY546" s="380"/>
      <c r="AZ546" s="380"/>
      <c r="BA546" s="380"/>
      <c r="BB546" s="380"/>
      <c r="BC546" s="380"/>
      <c r="BD546" s="380"/>
      <c r="BE546" s="380"/>
      <c r="BF546" s="380"/>
      <c r="BG546" s="380"/>
      <c r="BH546" s="380"/>
      <c r="BI546" s="511"/>
      <c r="BJ546" s="380"/>
      <c r="BK546" s="380"/>
      <c r="BL546" s="380"/>
      <c r="BM546" s="380"/>
      <c r="BN546" s="380"/>
      <c r="BO546" s="380"/>
      <c r="BP546" s="380"/>
      <c r="BQ546" s="380"/>
      <c r="BR546" s="380"/>
    </row>
    <row r="547" spans="1:70" ht="12.75" customHeight="1" x14ac:dyDescent="0.25">
      <c r="A547" s="380"/>
      <c r="B547" s="380"/>
      <c r="C547" s="380"/>
      <c r="D547" s="380"/>
      <c r="E547" s="511"/>
      <c r="F547" s="511"/>
      <c r="G547" s="582"/>
      <c r="H547" s="511"/>
      <c r="I547" s="511"/>
      <c r="J547" s="582"/>
      <c r="K547" s="511"/>
      <c r="L547" s="511"/>
      <c r="M547" s="582"/>
      <c r="N547" s="582"/>
      <c r="O547" s="582"/>
      <c r="P547" s="582"/>
      <c r="Q547" s="511"/>
      <c r="R547" s="511"/>
      <c r="S547" s="511"/>
      <c r="T547" s="639"/>
      <c r="U547" s="511"/>
      <c r="V547" s="511"/>
      <c r="W547" s="511"/>
      <c r="X547" s="511"/>
      <c r="Y547" s="380"/>
      <c r="Z547" s="380"/>
      <c r="AA547" s="380"/>
      <c r="AB547" s="380"/>
      <c r="AC547" s="380"/>
      <c r="AD547" s="671"/>
      <c r="AE547" s="380"/>
      <c r="AF547" s="380"/>
      <c r="AG547" s="380"/>
      <c r="AH547" s="671"/>
      <c r="AI547" s="380"/>
      <c r="AJ547" s="583"/>
      <c r="AK547" s="583"/>
      <c r="AL547" s="511"/>
      <c r="AM547" s="584"/>
      <c r="AN547" s="584"/>
      <c r="AO547" s="584"/>
      <c r="AP547" s="671"/>
      <c r="AQ547" s="584"/>
      <c r="AR547" s="583"/>
      <c r="AS547" s="583"/>
      <c r="AT547" s="585"/>
      <c r="AU547" s="585"/>
      <c r="AV547" s="585"/>
      <c r="AW547" s="585"/>
      <c r="AX547" s="673"/>
      <c r="AY547" s="380"/>
      <c r="AZ547" s="380"/>
      <c r="BA547" s="380"/>
      <c r="BB547" s="380"/>
      <c r="BC547" s="380"/>
      <c r="BD547" s="380"/>
      <c r="BE547" s="380"/>
      <c r="BF547" s="380"/>
      <c r="BG547" s="380"/>
      <c r="BH547" s="380"/>
      <c r="BI547" s="511"/>
      <c r="BJ547" s="380"/>
      <c r="BK547" s="380"/>
      <c r="BL547" s="380"/>
      <c r="BM547" s="380"/>
      <c r="BN547" s="380"/>
      <c r="BO547" s="380"/>
      <c r="BP547" s="380"/>
      <c r="BQ547" s="380"/>
      <c r="BR547" s="380"/>
    </row>
    <row r="548" spans="1:70" ht="12.75" customHeight="1" x14ac:dyDescent="0.25">
      <c r="A548" s="380"/>
      <c r="B548" s="380"/>
      <c r="C548" s="380"/>
      <c r="D548" s="380"/>
      <c r="E548" s="511"/>
      <c r="F548" s="511"/>
      <c r="G548" s="582"/>
      <c r="H548" s="511"/>
      <c r="I548" s="511"/>
      <c r="J548" s="582"/>
      <c r="K548" s="511"/>
      <c r="L548" s="511"/>
      <c r="M548" s="582"/>
      <c r="N548" s="582"/>
      <c r="O548" s="582"/>
      <c r="P548" s="582"/>
      <c r="Q548" s="511"/>
      <c r="R548" s="511"/>
      <c r="S548" s="511"/>
      <c r="T548" s="639"/>
      <c r="U548" s="511"/>
      <c r="V548" s="511"/>
      <c r="W548" s="511"/>
      <c r="X548" s="511"/>
      <c r="Y548" s="380"/>
      <c r="Z548" s="380"/>
      <c r="AA548" s="380"/>
      <c r="AB548" s="380"/>
      <c r="AC548" s="380"/>
      <c r="AD548" s="671"/>
      <c r="AE548" s="380"/>
      <c r="AF548" s="380"/>
      <c r="AG548" s="380"/>
      <c r="AH548" s="671"/>
      <c r="AI548" s="380"/>
      <c r="AJ548" s="583"/>
      <c r="AK548" s="583"/>
      <c r="AL548" s="511"/>
      <c r="AM548" s="584"/>
      <c r="AN548" s="584"/>
      <c r="AO548" s="584"/>
      <c r="AP548" s="671"/>
      <c r="AQ548" s="584"/>
      <c r="AR548" s="583"/>
      <c r="AS548" s="583"/>
      <c r="AT548" s="585"/>
      <c r="AU548" s="585"/>
      <c r="AV548" s="585"/>
      <c r="AW548" s="585"/>
      <c r="AX548" s="673"/>
      <c r="AY548" s="380"/>
      <c r="AZ548" s="380"/>
      <c r="BA548" s="380"/>
      <c r="BB548" s="380"/>
      <c r="BC548" s="380"/>
      <c r="BD548" s="380"/>
      <c r="BE548" s="380"/>
      <c r="BF548" s="380"/>
      <c r="BG548" s="380"/>
      <c r="BH548" s="380"/>
      <c r="BI548" s="511"/>
      <c r="BJ548" s="380"/>
      <c r="BK548" s="380"/>
      <c r="BL548" s="380"/>
      <c r="BM548" s="380"/>
      <c r="BN548" s="380"/>
      <c r="BO548" s="380"/>
      <c r="BP548" s="380"/>
      <c r="BQ548" s="380"/>
      <c r="BR548" s="380"/>
    </row>
    <row r="549" spans="1:70" ht="12.75" customHeight="1" x14ac:dyDescent="0.25">
      <c r="A549" s="380"/>
      <c r="B549" s="380"/>
      <c r="C549" s="380"/>
      <c r="D549" s="380"/>
      <c r="E549" s="511"/>
      <c r="F549" s="511"/>
      <c r="G549" s="582"/>
      <c r="H549" s="511"/>
      <c r="I549" s="511"/>
      <c r="J549" s="582"/>
      <c r="K549" s="511"/>
      <c r="L549" s="511"/>
      <c r="M549" s="582"/>
      <c r="N549" s="582"/>
      <c r="O549" s="582"/>
      <c r="P549" s="582"/>
      <c r="Q549" s="511"/>
      <c r="R549" s="511"/>
      <c r="S549" s="511"/>
      <c r="T549" s="639"/>
      <c r="U549" s="511"/>
      <c r="V549" s="511"/>
      <c r="W549" s="511"/>
      <c r="X549" s="511"/>
      <c r="Y549" s="380"/>
      <c r="Z549" s="380"/>
      <c r="AA549" s="380"/>
      <c r="AB549" s="380"/>
      <c r="AC549" s="380"/>
      <c r="AD549" s="671"/>
      <c r="AE549" s="380"/>
      <c r="AF549" s="380"/>
      <c r="AG549" s="380"/>
      <c r="AH549" s="671"/>
      <c r="AI549" s="380"/>
      <c r="AJ549" s="583"/>
      <c r="AK549" s="583"/>
      <c r="AL549" s="511"/>
      <c r="AM549" s="584"/>
      <c r="AN549" s="584"/>
      <c r="AO549" s="584"/>
      <c r="AP549" s="671"/>
      <c r="AQ549" s="584"/>
      <c r="AR549" s="583"/>
      <c r="AS549" s="583"/>
      <c r="AT549" s="585"/>
      <c r="AU549" s="585"/>
      <c r="AV549" s="585"/>
      <c r="AW549" s="585"/>
      <c r="AX549" s="673"/>
      <c r="AY549" s="380"/>
      <c r="AZ549" s="380"/>
      <c r="BA549" s="380"/>
      <c r="BB549" s="380"/>
      <c r="BC549" s="380"/>
      <c r="BD549" s="380"/>
      <c r="BE549" s="380"/>
      <c r="BF549" s="380"/>
      <c r="BG549" s="380"/>
      <c r="BH549" s="380"/>
      <c r="BI549" s="511"/>
      <c r="BJ549" s="380"/>
      <c r="BK549" s="380"/>
      <c r="BL549" s="380"/>
      <c r="BM549" s="380"/>
      <c r="BN549" s="380"/>
      <c r="BO549" s="380"/>
      <c r="BP549" s="380"/>
      <c r="BQ549" s="380"/>
      <c r="BR549" s="380"/>
    </row>
    <row r="550" spans="1:70" ht="12.75" customHeight="1" x14ac:dyDescent="0.25">
      <c r="A550" s="380"/>
      <c r="B550" s="380"/>
      <c r="C550" s="380"/>
      <c r="D550" s="380"/>
      <c r="E550" s="511"/>
      <c r="F550" s="511"/>
      <c r="G550" s="582"/>
      <c r="H550" s="511"/>
      <c r="I550" s="511"/>
      <c r="J550" s="582"/>
      <c r="K550" s="511"/>
      <c r="L550" s="511"/>
      <c r="M550" s="582"/>
      <c r="N550" s="582"/>
      <c r="O550" s="582"/>
      <c r="P550" s="582"/>
      <c r="Q550" s="511"/>
      <c r="R550" s="511"/>
      <c r="S550" s="511"/>
      <c r="T550" s="639"/>
      <c r="U550" s="511"/>
      <c r="V550" s="511"/>
      <c r="W550" s="511"/>
      <c r="X550" s="511"/>
      <c r="Y550" s="380"/>
      <c r="Z550" s="380"/>
      <c r="AA550" s="380"/>
      <c r="AB550" s="380"/>
      <c r="AC550" s="380"/>
      <c r="AD550" s="671"/>
      <c r="AE550" s="380"/>
      <c r="AF550" s="380"/>
      <c r="AG550" s="380"/>
      <c r="AH550" s="671"/>
      <c r="AI550" s="380"/>
      <c r="AJ550" s="583"/>
      <c r="AK550" s="583"/>
      <c r="AL550" s="511"/>
      <c r="AM550" s="584"/>
      <c r="AN550" s="584"/>
      <c r="AO550" s="584"/>
      <c r="AP550" s="671"/>
      <c r="AQ550" s="584"/>
      <c r="AR550" s="583"/>
      <c r="AS550" s="583"/>
      <c r="AT550" s="585"/>
      <c r="AU550" s="585"/>
      <c r="AV550" s="585"/>
      <c r="AW550" s="585"/>
      <c r="AX550" s="673"/>
      <c r="AY550" s="380"/>
      <c r="AZ550" s="380"/>
      <c r="BA550" s="380"/>
      <c r="BB550" s="380"/>
      <c r="BC550" s="380"/>
      <c r="BD550" s="380"/>
      <c r="BE550" s="380"/>
      <c r="BF550" s="380"/>
      <c r="BG550" s="380"/>
      <c r="BH550" s="380"/>
      <c r="BI550" s="511"/>
      <c r="BJ550" s="380"/>
      <c r="BK550" s="380"/>
      <c r="BL550" s="380"/>
      <c r="BM550" s="380"/>
      <c r="BN550" s="380"/>
      <c r="BO550" s="380"/>
      <c r="BP550" s="380"/>
      <c r="BQ550" s="380"/>
      <c r="BR550" s="380"/>
    </row>
    <row r="551" spans="1:70" ht="12.75" customHeight="1" x14ac:dyDescent="0.25">
      <c r="A551" s="380"/>
      <c r="B551" s="380"/>
      <c r="C551" s="380"/>
      <c r="D551" s="380"/>
      <c r="E551" s="511"/>
      <c r="F551" s="511"/>
      <c r="G551" s="582"/>
      <c r="H551" s="511"/>
      <c r="I551" s="511"/>
      <c r="J551" s="582"/>
      <c r="K551" s="511"/>
      <c r="L551" s="511"/>
      <c r="M551" s="582"/>
      <c r="N551" s="582"/>
      <c r="O551" s="582"/>
      <c r="P551" s="582"/>
      <c r="Q551" s="511"/>
      <c r="R551" s="511"/>
      <c r="S551" s="511"/>
      <c r="T551" s="639"/>
      <c r="U551" s="511"/>
      <c r="V551" s="511"/>
      <c r="W551" s="511"/>
      <c r="X551" s="511"/>
      <c r="Y551" s="380"/>
      <c r="Z551" s="380"/>
      <c r="AA551" s="380"/>
      <c r="AB551" s="380"/>
      <c r="AC551" s="380"/>
      <c r="AD551" s="671"/>
      <c r="AE551" s="380"/>
      <c r="AF551" s="380"/>
      <c r="AG551" s="380"/>
      <c r="AH551" s="671"/>
      <c r="AI551" s="380"/>
      <c r="AJ551" s="583"/>
      <c r="AK551" s="583"/>
      <c r="AL551" s="511"/>
      <c r="AM551" s="584"/>
      <c r="AN551" s="584"/>
      <c r="AO551" s="584"/>
      <c r="AP551" s="671"/>
      <c r="AQ551" s="584"/>
      <c r="AR551" s="583"/>
      <c r="AS551" s="583"/>
      <c r="AT551" s="585"/>
      <c r="AU551" s="585"/>
      <c r="AV551" s="585"/>
      <c r="AW551" s="585"/>
      <c r="AX551" s="673"/>
      <c r="AY551" s="380"/>
      <c r="AZ551" s="380"/>
      <c r="BA551" s="380"/>
      <c r="BB551" s="380"/>
      <c r="BC551" s="380"/>
      <c r="BD551" s="380"/>
      <c r="BE551" s="380"/>
      <c r="BF551" s="380"/>
      <c r="BG551" s="380"/>
      <c r="BH551" s="380"/>
      <c r="BI551" s="511"/>
      <c r="BJ551" s="380"/>
      <c r="BK551" s="380"/>
      <c r="BL551" s="380"/>
      <c r="BM551" s="380"/>
      <c r="BN551" s="380"/>
      <c r="BO551" s="380"/>
      <c r="BP551" s="380"/>
      <c r="BQ551" s="380"/>
      <c r="BR551" s="380"/>
    </row>
    <row r="552" spans="1:70" ht="12.75" customHeight="1" x14ac:dyDescent="0.25">
      <c r="A552" s="380"/>
      <c r="B552" s="380"/>
      <c r="C552" s="380"/>
      <c r="D552" s="380"/>
      <c r="E552" s="511"/>
      <c r="F552" s="511"/>
      <c r="G552" s="582"/>
      <c r="H552" s="511"/>
      <c r="I552" s="511"/>
      <c r="J552" s="582"/>
      <c r="K552" s="511"/>
      <c r="L552" s="511"/>
      <c r="M552" s="582"/>
      <c r="N552" s="582"/>
      <c r="O552" s="582"/>
      <c r="P552" s="582"/>
      <c r="Q552" s="511"/>
      <c r="R552" s="511"/>
      <c r="S552" s="511"/>
      <c r="T552" s="639"/>
      <c r="U552" s="511"/>
      <c r="V552" s="511"/>
      <c r="W552" s="511"/>
      <c r="X552" s="511"/>
      <c r="Y552" s="380"/>
      <c r="Z552" s="380"/>
      <c r="AA552" s="380"/>
      <c r="AB552" s="380"/>
      <c r="AC552" s="380"/>
      <c r="AD552" s="671"/>
      <c r="AE552" s="380"/>
      <c r="AF552" s="380"/>
      <c r="AG552" s="380"/>
      <c r="AH552" s="671"/>
      <c r="AI552" s="380"/>
      <c r="AJ552" s="583"/>
      <c r="AK552" s="583"/>
      <c r="AL552" s="511"/>
      <c r="AM552" s="584"/>
      <c r="AN552" s="584"/>
      <c r="AO552" s="584"/>
      <c r="AP552" s="671"/>
      <c r="AQ552" s="584"/>
      <c r="AR552" s="583"/>
      <c r="AS552" s="583"/>
      <c r="AT552" s="585"/>
      <c r="AU552" s="585"/>
      <c r="AV552" s="585"/>
      <c r="AW552" s="585"/>
      <c r="AX552" s="673"/>
      <c r="AY552" s="380"/>
      <c r="AZ552" s="380"/>
      <c r="BA552" s="380"/>
      <c r="BB552" s="380"/>
      <c r="BC552" s="380"/>
      <c r="BD552" s="380"/>
      <c r="BE552" s="380"/>
      <c r="BF552" s="380"/>
      <c r="BG552" s="380"/>
      <c r="BH552" s="380"/>
      <c r="BI552" s="511"/>
      <c r="BJ552" s="380"/>
      <c r="BK552" s="380"/>
      <c r="BL552" s="380"/>
      <c r="BM552" s="380"/>
      <c r="BN552" s="380"/>
      <c r="BO552" s="380"/>
      <c r="BP552" s="380"/>
      <c r="BQ552" s="380"/>
      <c r="BR552" s="380"/>
    </row>
    <row r="553" spans="1:70" ht="12.75" customHeight="1" x14ac:dyDescent="0.25">
      <c r="A553" s="380"/>
      <c r="B553" s="380"/>
      <c r="C553" s="380"/>
      <c r="D553" s="380"/>
      <c r="E553" s="511"/>
      <c r="F553" s="511"/>
      <c r="G553" s="582"/>
      <c r="H553" s="511"/>
      <c r="I553" s="511"/>
      <c r="J553" s="582"/>
      <c r="K553" s="511"/>
      <c r="L553" s="511"/>
      <c r="M553" s="582"/>
      <c r="N553" s="582"/>
      <c r="O553" s="582"/>
      <c r="P553" s="582"/>
      <c r="Q553" s="511"/>
      <c r="R553" s="511"/>
      <c r="S553" s="511"/>
      <c r="T553" s="639"/>
      <c r="U553" s="511"/>
      <c r="V553" s="511"/>
      <c r="W553" s="511"/>
      <c r="X553" s="511"/>
      <c r="Y553" s="380"/>
      <c r="Z553" s="380"/>
      <c r="AA553" s="380"/>
      <c r="AB553" s="380"/>
      <c r="AC553" s="380"/>
      <c r="AD553" s="671"/>
      <c r="AE553" s="380"/>
      <c r="AF553" s="380"/>
      <c r="AG553" s="380"/>
      <c r="AH553" s="671"/>
      <c r="AI553" s="380"/>
      <c r="AJ553" s="583"/>
      <c r="AK553" s="583"/>
      <c r="AL553" s="511"/>
      <c r="AM553" s="584"/>
      <c r="AN553" s="584"/>
      <c r="AO553" s="584"/>
      <c r="AP553" s="671"/>
      <c r="AQ553" s="584"/>
      <c r="AR553" s="583"/>
      <c r="AS553" s="583"/>
      <c r="AT553" s="585"/>
      <c r="AU553" s="585"/>
      <c r="AV553" s="585"/>
      <c r="AW553" s="585"/>
      <c r="AX553" s="673"/>
      <c r="AY553" s="380"/>
      <c r="AZ553" s="380"/>
      <c r="BA553" s="380"/>
      <c r="BB553" s="380"/>
      <c r="BC553" s="380"/>
      <c r="BD553" s="380"/>
      <c r="BE553" s="380"/>
      <c r="BF553" s="380"/>
      <c r="BG553" s="380"/>
      <c r="BH553" s="380"/>
      <c r="BI553" s="511"/>
      <c r="BJ553" s="380"/>
      <c r="BK553" s="380"/>
      <c r="BL553" s="380"/>
      <c r="BM553" s="380"/>
      <c r="BN553" s="380"/>
      <c r="BO553" s="380"/>
      <c r="BP553" s="380"/>
      <c r="BQ553" s="380"/>
      <c r="BR553" s="380"/>
    </row>
    <row r="554" spans="1:70" ht="12.75" customHeight="1" x14ac:dyDescent="0.25">
      <c r="A554" s="380"/>
      <c r="B554" s="380"/>
      <c r="C554" s="380"/>
      <c r="D554" s="380"/>
      <c r="E554" s="511"/>
      <c r="F554" s="511"/>
      <c r="G554" s="582"/>
      <c r="H554" s="511"/>
      <c r="I554" s="511"/>
      <c r="J554" s="582"/>
      <c r="K554" s="511"/>
      <c r="L554" s="511"/>
      <c r="M554" s="582"/>
      <c r="N554" s="582"/>
      <c r="O554" s="582"/>
      <c r="P554" s="582"/>
      <c r="Q554" s="511"/>
      <c r="R554" s="511"/>
      <c r="S554" s="511"/>
      <c r="T554" s="639"/>
      <c r="U554" s="511"/>
      <c r="V554" s="511"/>
      <c r="W554" s="511"/>
      <c r="X554" s="511"/>
      <c r="Y554" s="380"/>
      <c r="Z554" s="380"/>
      <c r="AA554" s="380"/>
      <c r="AB554" s="380"/>
      <c r="AC554" s="380"/>
      <c r="AD554" s="671"/>
      <c r="AE554" s="380"/>
      <c r="AF554" s="380"/>
      <c r="AG554" s="380"/>
      <c r="AH554" s="671"/>
      <c r="AI554" s="380"/>
      <c r="AJ554" s="583"/>
      <c r="AK554" s="583"/>
      <c r="AL554" s="511"/>
      <c r="AM554" s="584"/>
      <c r="AN554" s="584"/>
      <c r="AO554" s="584"/>
      <c r="AP554" s="671"/>
      <c r="AQ554" s="584"/>
      <c r="AR554" s="583"/>
      <c r="AS554" s="583"/>
      <c r="AT554" s="585"/>
      <c r="AU554" s="585"/>
      <c r="AV554" s="585"/>
      <c r="AW554" s="585"/>
      <c r="AX554" s="673"/>
      <c r="AY554" s="380"/>
      <c r="AZ554" s="380"/>
      <c r="BA554" s="380"/>
      <c r="BB554" s="380"/>
      <c r="BC554" s="380"/>
      <c r="BD554" s="380"/>
      <c r="BE554" s="380"/>
      <c r="BF554" s="380"/>
      <c r="BG554" s="380"/>
      <c r="BH554" s="380"/>
      <c r="BI554" s="511"/>
      <c r="BJ554" s="380"/>
      <c r="BK554" s="380"/>
      <c r="BL554" s="380"/>
      <c r="BM554" s="380"/>
      <c r="BN554" s="380"/>
      <c r="BO554" s="380"/>
      <c r="BP554" s="380"/>
      <c r="BQ554" s="380"/>
      <c r="BR554" s="380"/>
    </row>
    <row r="555" spans="1:70" ht="12.75" customHeight="1" x14ac:dyDescent="0.25">
      <c r="A555" s="380"/>
      <c r="B555" s="380"/>
      <c r="C555" s="380"/>
      <c r="D555" s="380"/>
      <c r="E555" s="511"/>
      <c r="F555" s="511"/>
      <c r="G555" s="582"/>
      <c r="H555" s="511"/>
      <c r="I555" s="511"/>
      <c r="J555" s="582"/>
      <c r="K555" s="511"/>
      <c r="L555" s="511"/>
      <c r="M555" s="582"/>
      <c r="N555" s="582"/>
      <c r="O555" s="582"/>
      <c r="P555" s="582"/>
      <c r="Q555" s="511"/>
      <c r="R555" s="511"/>
      <c r="S555" s="511"/>
      <c r="T555" s="639"/>
      <c r="U555" s="511"/>
      <c r="V555" s="511"/>
      <c r="W555" s="511"/>
      <c r="X555" s="511"/>
      <c r="Y555" s="380"/>
      <c r="Z555" s="380"/>
      <c r="AA555" s="380"/>
      <c r="AB555" s="380"/>
      <c r="AC555" s="380"/>
      <c r="AD555" s="671"/>
      <c r="AE555" s="380"/>
      <c r="AF555" s="380"/>
      <c r="AG555" s="380"/>
      <c r="AH555" s="671"/>
      <c r="AI555" s="380"/>
      <c r="AJ555" s="583"/>
      <c r="AK555" s="583"/>
      <c r="AL555" s="511"/>
      <c r="AM555" s="584"/>
      <c r="AN555" s="584"/>
      <c r="AO555" s="584"/>
      <c r="AP555" s="671"/>
      <c r="AQ555" s="584"/>
      <c r="AR555" s="583"/>
      <c r="AS555" s="583"/>
      <c r="AT555" s="585"/>
      <c r="AU555" s="585"/>
      <c r="AV555" s="585"/>
      <c r="AW555" s="585"/>
      <c r="AX555" s="673"/>
      <c r="AY555" s="380"/>
      <c r="AZ555" s="380"/>
      <c r="BA555" s="380"/>
      <c r="BB555" s="380"/>
      <c r="BC555" s="380"/>
      <c r="BD555" s="380"/>
      <c r="BE555" s="380"/>
      <c r="BF555" s="380"/>
      <c r="BG555" s="380"/>
      <c r="BH555" s="380"/>
      <c r="BI555" s="511"/>
      <c r="BJ555" s="380"/>
      <c r="BK555" s="380"/>
      <c r="BL555" s="380"/>
      <c r="BM555" s="380"/>
      <c r="BN555" s="380"/>
      <c r="BO555" s="380"/>
      <c r="BP555" s="380"/>
      <c r="BQ555" s="380"/>
      <c r="BR555" s="380"/>
    </row>
    <row r="556" spans="1:70" ht="12.75" customHeight="1" x14ac:dyDescent="0.25">
      <c r="A556" s="380"/>
      <c r="B556" s="380"/>
      <c r="C556" s="380"/>
      <c r="D556" s="380"/>
      <c r="E556" s="511"/>
      <c r="F556" s="511"/>
      <c r="G556" s="582"/>
      <c r="H556" s="511"/>
      <c r="I556" s="511"/>
      <c r="J556" s="582"/>
      <c r="K556" s="511"/>
      <c r="L556" s="511"/>
      <c r="M556" s="582"/>
      <c r="N556" s="582"/>
      <c r="O556" s="582"/>
      <c r="P556" s="582"/>
      <c r="Q556" s="511"/>
      <c r="R556" s="511"/>
      <c r="S556" s="511"/>
      <c r="T556" s="639"/>
      <c r="U556" s="511"/>
      <c r="V556" s="511"/>
      <c r="W556" s="511"/>
      <c r="X556" s="511"/>
      <c r="Y556" s="380"/>
      <c r="Z556" s="380"/>
      <c r="AA556" s="380"/>
      <c r="AB556" s="380"/>
      <c r="AC556" s="380"/>
      <c r="AD556" s="671"/>
      <c r="AE556" s="380"/>
      <c r="AF556" s="380"/>
      <c r="AG556" s="380"/>
      <c r="AH556" s="671"/>
      <c r="AI556" s="380"/>
      <c r="AJ556" s="583"/>
      <c r="AK556" s="583"/>
      <c r="AL556" s="511"/>
      <c r="AM556" s="584"/>
      <c r="AN556" s="584"/>
      <c r="AO556" s="584"/>
      <c r="AP556" s="671"/>
      <c r="AQ556" s="584"/>
      <c r="AR556" s="583"/>
      <c r="AS556" s="583"/>
      <c r="AT556" s="585"/>
      <c r="AU556" s="585"/>
      <c r="AV556" s="585"/>
      <c r="AW556" s="585"/>
      <c r="AX556" s="673"/>
      <c r="AY556" s="380"/>
      <c r="AZ556" s="380"/>
      <c r="BA556" s="380"/>
      <c r="BB556" s="380"/>
      <c r="BC556" s="380"/>
      <c r="BD556" s="380"/>
      <c r="BE556" s="380"/>
      <c r="BF556" s="380"/>
      <c r="BG556" s="380"/>
      <c r="BH556" s="380"/>
      <c r="BI556" s="511"/>
      <c r="BJ556" s="380"/>
      <c r="BK556" s="380"/>
      <c r="BL556" s="380"/>
      <c r="BM556" s="380"/>
      <c r="BN556" s="380"/>
      <c r="BO556" s="380"/>
      <c r="BP556" s="380"/>
      <c r="BQ556" s="380"/>
      <c r="BR556" s="380"/>
    </row>
    <row r="557" spans="1:70" ht="12.75" customHeight="1" x14ac:dyDescent="0.25">
      <c r="A557" s="380"/>
      <c r="B557" s="380"/>
      <c r="C557" s="380"/>
      <c r="D557" s="380"/>
      <c r="E557" s="511"/>
      <c r="F557" s="511"/>
      <c r="G557" s="582"/>
      <c r="H557" s="511"/>
      <c r="I557" s="511"/>
      <c r="J557" s="582"/>
      <c r="K557" s="511"/>
      <c r="L557" s="511"/>
      <c r="M557" s="582"/>
      <c r="N557" s="582"/>
      <c r="O557" s="582"/>
      <c r="P557" s="582"/>
      <c r="Q557" s="511"/>
      <c r="R557" s="511"/>
      <c r="S557" s="511"/>
      <c r="T557" s="639"/>
      <c r="U557" s="511"/>
      <c r="V557" s="511"/>
      <c r="W557" s="511"/>
      <c r="X557" s="511"/>
      <c r="Y557" s="380"/>
      <c r="Z557" s="380"/>
      <c r="AA557" s="380"/>
      <c r="AB557" s="380"/>
      <c r="AC557" s="380"/>
      <c r="AD557" s="671"/>
      <c r="AE557" s="380"/>
      <c r="AF557" s="380"/>
      <c r="AG557" s="380"/>
      <c r="AH557" s="671"/>
      <c r="AI557" s="380"/>
      <c r="AJ557" s="583"/>
      <c r="AK557" s="583"/>
      <c r="AL557" s="511"/>
      <c r="AM557" s="584"/>
      <c r="AN557" s="584"/>
      <c r="AO557" s="584"/>
      <c r="AP557" s="671"/>
      <c r="AQ557" s="584"/>
      <c r="AR557" s="583"/>
      <c r="AS557" s="583"/>
      <c r="AT557" s="585"/>
      <c r="AU557" s="585"/>
      <c r="AV557" s="585"/>
      <c r="AW557" s="585"/>
      <c r="AX557" s="673"/>
      <c r="AY557" s="380"/>
      <c r="AZ557" s="380"/>
      <c r="BA557" s="380"/>
      <c r="BB557" s="380"/>
      <c r="BC557" s="380"/>
      <c r="BD557" s="380"/>
      <c r="BE557" s="380"/>
      <c r="BF557" s="380"/>
      <c r="BG557" s="380"/>
      <c r="BH557" s="380"/>
      <c r="BI557" s="511"/>
      <c r="BJ557" s="380"/>
      <c r="BK557" s="380"/>
      <c r="BL557" s="380"/>
      <c r="BM557" s="380"/>
      <c r="BN557" s="380"/>
      <c r="BO557" s="380"/>
      <c r="BP557" s="380"/>
      <c r="BQ557" s="380"/>
      <c r="BR557" s="380"/>
    </row>
    <row r="558" spans="1:70" ht="12.75" customHeight="1" x14ac:dyDescent="0.25">
      <c r="A558" s="380"/>
      <c r="B558" s="380"/>
      <c r="C558" s="380"/>
      <c r="D558" s="380"/>
      <c r="E558" s="511"/>
      <c r="F558" s="511"/>
      <c r="G558" s="582"/>
      <c r="H558" s="511"/>
      <c r="I558" s="511"/>
      <c r="J558" s="582"/>
      <c r="K558" s="511"/>
      <c r="L558" s="511"/>
      <c r="M558" s="582"/>
      <c r="N558" s="582"/>
      <c r="O558" s="582"/>
      <c r="P558" s="582"/>
      <c r="Q558" s="511"/>
      <c r="R558" s="511"/>
      <c r="S558" s="511"/>
      <c r="T558" s="639"/>
      <c r="U558" s="511"/>
      <c r="V558" s="511"/>
      <c r="W558" s="511"/>
      <c r="X558" s="511"/>
      <c r="Y558" s="380"/>
      <c r="Z558" s="380"/>
      <c r="AA558" s="380"/>
      <c r="AB558" s="380"/>
      <c r="AC558" s="380"/>
      <c r="AD558" s="671"/>
      <c r="AE558" s="380"/>
      <c r="AF558" s="380"/>
      <c r="AG558" s="380"/>
      <c r="AH558" s="671"/>
      <c r="AI558" s="380"/>
      <c r="AJ558" s="583"/>
      <c r="AK558" s="583"/>
      <c r="AL558" s="511"/>
      <c r="AM558" s="584"/>
      <c r="AN558" s="584"/>
      <c r="AO558" s="584"/>
      <c r="AP558" s="671"/>
      <c r="AQ558" s="584"/>
      <c r="AR558" s="583"/>
      <c r="AS558" s="583"/>
      <c r="AT558" s="585"/>
      <c r="AU558" s="585"/>
      <c r="AV558" s="585"/>
      <c r="AW558" s="585"/>
      <c r="AX558" s="673"/>
      <c r="AY558" s="380"/>
      <c r="AZ558" s="380"/>
      <c r="BA558" s="380"/>
      <c r="BB558" s="380"/>
      <c r="BC558" s="380"/>
      <c r="BD558" s="380"/>
      <c r="BE558" s="380"/>
      <c r="BF558" s="380"/>
      <c r="BG558" s="380"/>
      <c r="BH558" s="380"/>
      <c r="BI558" s="511"/>
      <c r="BJ558" s="380"/>
      <c r="BK558" s="380"/>
      <c r="BL558" s="380"/>
      <c r="BM558" s="380"/>
      <c r="BN558" s="380"/>
      <c r="BO558" s="380"/>
      <c r="BP558" s="380"/>
      <c r="BQ558" s="380"/>
      <c r="BR558" s="380"/>
    </row>
    <row r="559" spans="1:70" ht="12.75" customHeight="1" x14ac:dyDescent="0.25">
      <c r="A559" s="380"/>
      <c r="B559" s="380"/>
      <c r="C559" s="380"/>
      <c r="D559" s="380"/>
      <c r="E559" s="511"/>
      <c r="F559" s="511"/>
      <c r="G559" s="582"/>
      <c r="H559" s="511"/>
      <c r="I559" s="511"/>
      <c r="J559" s="582"/>
      <c r="K559" s="511"/>
      <c r="L559" s="511"/>
      <c r="M559" s="582"/>
      <c r="N559" s="582"/>
      <c r="O559" s="582"/>
      <c r="P559" s="582"/>
      <c r="Q559" s="511"/>
      <c r="R559" s="511"/>
      <c r="S559" s="511"/>
      <c r="T559" s="639"/>
      <c r="U559" s="511"/>
      <c r="V559" s="511"/>
      <c r="W559" s="511"/>
      <c r="X559" s="511"/>
      <c r="Y559" s="380"/>
      <c r="Z559" s="380"/>
      <c r="AA559" s="380"/>
      <c r="AB559" s="380"/>
      <c r="AC559" s="380"/>
      <c r="AD559" s="671"/>
      <c r="AE559" s="380"/>
      <c r="AF559" s="380"/>
      <c r="AG559" s="380"/>
      <c r="AH559" s="671"/>
      <c r="AI559" s="380"/>
      <c r="AJ559" s="583"/>
      <c r="AK559" s="583"/>
      <c r="AL559" s="511"/>
      <c r="AM559" s="584"/>
      <c r="AN559" s="584"/>
      <c r="AO559" s="584"/>
      <c r="AP559" s="671"/>
      <c r="AQ559" s="584"/>
      <c r="AR559" s="583"/>
      <c r="AS559" s="583"/>
      <c r="AT559" s="585"/>
      <c r="AU559" s="585"/>
      <c r="AV559" s="585"/>
      <c r="AW559" s="585"/>
      <c r="AX559" s="673"/>
      <c r="AY559" s="380"/>
      <c r="AZ559" s="380"/>
      <c r="BA559" s="380"/>
      <c r="BB559" s="380"/>
      <c r="BC559" s="380"/>
      <c r="BD559" s="380"/>
      <c r="BE559" s="380"/>
      <c r="BF559" s="380"/>
      <c r="BG559" s="380"/>
      <c r="BH559" s="380"/>
      <c r="BI559" s="511"/>
      <c r="BJ559" s="380"/>
      <c r="BK559" s="380"/>
      <c r="BL559" s="380"/>
      <c r="BM559" s="380"/>
      <c r="BN559" s="380"/>
      <c r="BO559" s="380"/>
      <c r="BP559" s="380"/>
      <c r="BQ559" s="380"/>
      <c r="BR559" s="380"/>
    </row>
    <row r="560" spans="1:70" ht="12.75" customHeight="1" x14ac:dyDescent="0.25">
      <c r="A560" s="380"/>
      <c r="B560" s="380"/>
      <c r="C560" s="380"/>
      <c r="D560" s="380"/>
      <c r="E560" s="511"/>
      <c r="F560" s="511"/>
      <c r="G560" s="582"/>
      <c r="H560" s="511"/>
      <c r="I560" s="511"/>
      <c r="J560" s="582"/>
      <c r="K560" s="511"/>
      <c r="L560" s="511"/>
      <c r="M560" s="582"/>
      <c r="N560" s="582"/>
      <c r="O560" s="582"/>
      <c r="P560" s="582"/>
      <c r="Q560" s="511"/>
      <c r="R560" s="511"/>
      <c r="S560" s="511"/>
      <c r="T560" s="639"/>
      <c r="U560" s="511"/>
      <c r="V560" s="511"/>
      <c r="W560" s="511"/>
      <c r="X560" s="511"/>
      <c r="Y560" s="380"/>
      <c r="Z560" s="380"/>
      <c r="AA560" s="380"/>
      <c r="AB560" s="380"/>
      <c r="AC560" s="380"/>
      <c r="AD560" s="671"/>
      <c r="AE560" s="380"/>
      <c r="AF560" s="380"/>
      <c r="AG560" s="380"/>
      <c r="AH560" s="671"/>
      <c r="AI560" s="380"/>
      <c r="AJ560" s="583"/>
      <c r="AK560" s="583"/>
      <c r="AL560" s="511"/>
      <c r="AM560" s="584"/>
      <c r="AN560" s="584"/>
      <c r="AO560" s="584"/>
      <c r="AP560" s="671"/>
      <c r="AQ560" s="584"/>
      <c r="AR560" s="583"/>
      <c r="AS560" s="583"/>
      <c r="AT560" s="585"/>
      <c r="AU560" s="585"/>
      <c r="AV560" s="585"/>
      <c r="AW560" s="585"/>
      <c r="AX560" s="673"/>
      <c r="AY560" s="380"/>
      <c r="AZ560" s="380"/>
      <c r="BA560" s="380"/>
      <c r="BB560" s="380"/>
      <c r="BC560" s="380"/>
      <c r="BD560" s="380"/>
      <c r="BE560" s="380"/>
      <c r="BF560" s="380"/>
      <c r="BG560" s="380"/>
      <c r="BH560" s="380"/>
      <c r="BI560" s="511"/>
      <c r="BJ560" s="380"/>
      <c r="BK560" s="380"/>
      <c r="BL560" s="380"/>
      <c r="BM560" s="380"/>
      <c r="BN560" s="380"/>
      <c r="BO560" s="380"/>
      <c r="BP560" s="380"/>
      <c r="BQ560" s="380"/>
      <c r="BR560" s="380"/>
    </row>
    <row r="561" spans="1:70" ht="12.75" customHeight="1" x14ac:dyDescent="0.25">
      <c r="A561" s="380"/>
      <c r="B561" s="380"/>
      <c r="C561" s="380"/>
      <c r="D561" s="380"/>
      <c r="E561" s="511"/>
      <c r="F561" s="511"/>
      <c r="G561" s="582"/>
      <c r="H561" s="511"/>
      <c r="I561" s="511"/>
      <c r="J561" s="582"/>
      <c r="K561" s="511"/>
      <c r="L561" s="511"/>
      <c r="M561" s="582"/>
      <c r="N561" s="582"/>
      <c r="O561" s="582"/>
      <c r="P561" s="582"/>
      <c r="Q561" s="511"/>
      <c r="R561" s="511"/>
      <c r="S561" s="511"/>
      <c r="T561" s="639"/>
      <c r="U561" s="511"/>
      <c r="V561" s="511"/>
      <c r="W561" s="511"/>
      <c r="X561" s="511"/>
      <c r="Y561" s="380"/>
      <c r="Z561" s="380"/>
      <c r="AA561" s="380"/>
      <c r="AB561" s="380"/>
      <c r="AC561" s="380"/>
      <c r="AD561" s="671"/>
      <c r="AE561" s="380"/>
      <c r="AF561" s="380"/>
      <c r="AG561" s="380"/>
      <c r="AH561" s="671"/>
      <c r="AI561" s="380"/>
      <c r="AJ561" s="583"/>
      <c r="AK561" s="583"/>
      <c r="AL561" s="511"/>
      <c r="AM561" s="584"/>
      <c r="AN561" s="584"/>
      <c r="AO561" s="584"/>
      <c r="AP561" s="671"/>
      <c r="AQ561" s="584"/>
      <c r="AR561" s="583"/>
      <c r="AS561" s="583"/>
      <c r="AT561" s="585"/>
      <c r="AU561" s="585"/>
      <c r="AV561" s="585"/>
      <c r="AW561" s="585"/>
      <c r="AX561" s="673"/>
      <c r="AY561" s="380"/>
      <c r="AZ561" s="380"/>
      <c r="BA561" s="380"/>
      <c r="BB561" s="380"/>
      <c r="BC561" s="380"/>
      <c r="BD561" s="380"/>
      <c r="BE561" s="380"/>
      <c r="BF561" s="380"/>
      <c r="BG561" s="380"/>
      <c r="BH561" s="380"/>
      <c r="BI561" s="511"/>
      <c r="BJ561" s="380"/>
      <c r="BK561" s="380"/>
      <c r="BL561" s="380"/>
      <c r="BM561" s="380"/>
      <c r="BN561" s="380"/>
      <c r="BO561" s="380"/>
      <c r="BP561" s="380"/>
      <c r="BQ561" s="380"/>
      <c r="BR561" s="380"/>
    </row>
    <row r="562" spans="1:70" ht="12.75" customHeight="1" x14ac:dyDescent="0.25">
      <c r="A562" s="380"/>
      <c r="B562" s="380"/>
      <c r="C562" s="380"/>
      <c r="D562" s="380"/>
      <c r="E562" s="511"/>
      <c r="F562" s="511"/>
      <c r="G562" s="582"/>
      <c r="H562" s="511"/>
      <c r="I562" s="511"/>
      <c r="J562" s="582"/>
      <c r="K562" s="511"/>
      <c r="L562" s="511"/>
      <c r="M562" s="582"/>
      <c r="N562" s="582"/>
      <c r="O562" s="582"/>
      <c r="P562" s="582"/>
      <c r="Q562" s="511"/>
      <c r="R562" s="511"/>
      <c r="S562" s="511"/>
      <c r="T562" s="639"/>
      <c r="U562" s="511"/>
      <c r="V562" s="511"/>
      <c r="W562" s="511"/>
      <c r="X562" s="511"/>
      <c r="Y562" s="380"/>
      <c r="Z562" s="380"/>
      <c r="AA562" s="380"/>
      <c r="AB562" s="380"/>
      <c r="AC562" s="380"/>
      <c r="AD562" s="671"/>
      <c r="AE562" s="380"/>
      <c r="AF562" s="380"/>
      <c r="AG562" s="380"/>
      <c r="AH562" s="671"/>
      <c r="AI562" s="380"/>
      <c r="AJ562" s="583"/>
      <c r="AK562" s="583"/>
      <c r="AL562" s="511"/>
      <c r="AM562" s="584"/>
      <c r="AN562" s="584"/>
      <c r="AO562" s="584"/>
      <c r="AP562" s="671"/>
      <c r="AQ562" s="584"/>
      <c r="AR562" s="583"/>
      <c r="AS562" s="583"/>
      <c r="AT562" s="585"/>
      <c r="AU562" s="585"/>
      <c r="AV562" s="585"/>
      <c r="AW562" s="585"/>
      <c r="AX562" s="673"/>
      <c r="AY562" s="380"/>
      <c r="AZ562" s="380"/>
      <c r="BA562" s="380"/>
      <c r="BB562" s="380"/>
      <c r="BC562" s="380"/>
      <c r="BD562" s="380"/>
      <c r="BE562" s="380"/>
      <c r="BF562" s="380"/>
      <c r="BG562" s="380"/>
      <c r="BH562" s="380"/>
      <c r="BI562" s="511"/>
      <c r="BJ562" s="380"/>
      <c r="BK562" s="380"/>
      <c r="BL562" s="380"/>
      <c r="BM562" s="380"/>
      <c r="BN562" s="380"/>
      <c r="BO562" s="380"/>
      <c r="BP562" s="380"/>
      <c r="BQ562" s="380"/>
      <c r="BR562" s="380"/>
    </row>
    <row r="563" spans="1:70" ht="12.75" customHeight="1" x14ac:dyDescent="0.25">
      <c r="A563" s="380"/>
      <c r="B563" s="380"/>
      <c r="C563" s="380"/>
      <c r="D563" s="380"/>
      <c r="E563" s="511"/>
      <c r="F563" s="511"/>
      <c r="G563" s="582"/>
      <c r="H563" s="511"/>
      <c r="I563" s="511"/>
      <c r="J563" s="582"/>
      <c r="K563" s="511"/>
      <c r="L563" s="511"/>
      <c r="M563" s="582"/>
      <c r="N563" s="582"/>
      <c r="O563" s="582"/>
      <c r="P563" s="582"/>
      <c r="Q563" s="511"/>
      <c r="R563" s="511"/>
      <c r="S563" s="511"/>
      <c r="T563" s="639"/>
      <c r="U563" s="511"/>
      <c r="V563" s="511"/>
      <c r="W563" s="511"/>
      <c r="X563" s="511"/>
      <c r="Y563" s="380"/>
      <c r="Z563" s="380"/>
      <c r="AA563" s="380"/>
      <c r="AB563" s="380"/>
      <c r="AC563" s="380"/>
      <c r="AD563" s="671"/>
      <c r="AE563" s="380"/>
      <c r="AF563" s="380"/>
      <c r="AG563" s="380"/>
      <c r="AH563" s="671"/>
      <c r="AI563" s="380"/>
      <c r="AJ563" s="583"/>
      <c r="AK563" s="583"/>
      <c r="AL563" s="511"/>
      <c r="AM563" s="584"/>
      <c r="AN563" s="584"/>
      <c r="AO563" s="584"/>
      <c r="AP563" s="671"/>
      <c r="AQ563" s="584"/>
      <c r="AR563" s="583"/>
      <c r="AS563" s="583"/>
      <c r="AT563" s="585"/>
      <c r="AU563" s="585"/>
      <c r="AV563" s="585"/>
      <c r="AW563" s="585"/>
      <c r="AX563" s="673"/>
      <c r="AY563" s="380"/>
      <c r="AZ563" s="380"/>
      <c r="BA563" s="380"/>
      <c r="BB563" s="380"/>
      <c r="BC563" s="380"/>
      <c r="BD563" s="380"/>
      <c r="BE563" s="380"/>
      <c r="BF563" s="380"/>
      <c r="BG563" s="380"/>
      <c r="BH563" s="380"/>
      <c r="BI563" s="511"/>
      <c r="BJ563" s="380"/>
      <c r="BK563" s="380"/>
      <c r="BL563" s="380"/>
      <c r="BM563" s="380"/>
      <c r="BN563" s="380"/>
      <c r="BO563" s="380"/>
      <c r="BP563" s="380"/>
      <c r="BQ563" s="380"/>
      <c r="BR563" s="380"/>
    </row>
    <row r="564" spans="1:70" ht="12.75" customHeight="1" x14ac:dyDescent="0.25">
      <c r="A564" s="380"/>
      <c r="B564" s="380"/>
      <c r="C564" s="380"/>
      <c r="D564" s="380"/>
      <c r="E564" s="511"/>
      <c r="F564" s="511"/>
      <c r="G564" s="582"/>
      <c r="H564" s="511"/>
      <c r="I564" s="511"/>
      <c r="J564" s="582"/>
      <c r="K564" s="511"/>
      <c r="L564" s="511"/>
      <c r="M564" s="582"/>
      <c r="N564" s="582"/>
      <c r="O564" s="582"/>
      <c r="P564" s="582"/>
      <c r="Q564" s="511"/>
      <c r="R564" s="511"/>
      <c r="S564" s="511"/>
      <c r="T564" s="639"/>
      <c r="U564" s="511"/>
      <c r="V564" s="511"/>
      <c r="W564" s="511"/>
      <c r="X564" s="511"/>
      <c r="Y564" s="380"/>
      <c r="Z564" s="380"/>
      <c r="AA564" s="380"/>
      <c r="AB564" s="380"/>
      <c r="AC564" s="380"/>
      <c r="AD564" s="671"/>
      <c r="AE564" s="380"/>
      <c r="AF564" s="380"/>
      <c r="AG564" s="380"/>
      <c r="AH564" s="671"/>
      <c r="AI564" s="380"/>
      <c r="AJ564" s="583"/>
      <c r="AK564" s="583"/>
      <c r="AL564" s="511"/>
      <c r="AM564" s="584"/>
      <c r="AN564" s="584"/>
      <c r="AO564" s="584"/>
      <c r="AP564" s="671"/>
      <c r="AQ564" s="584"/>
      <c r="AR564" s="583"/>
      <c r="AS564" s="583"/>
      <c r="AT564" s="585"/>
      <c r="AU564" s="585"/>
      <c r="AV564" s="585"/>
      <c r="AW564" s="585"/>
      <c r="AX564" s="673"/>
      <c r="AY564" s="380"/>
      <c r="AZ564" s="380"/>
      <c r="BA564" s="380"/>
      <c r="BB564" s="380"/>
      <c r="BC564" s="380"/>
      <c r="BD564" s="380"/>
      <c r="BE564" s="380"/>
      <c r="BF564" s="380"/>
      <c r="BG564" s="380"/>
      <c r="BH564" s="380"/>
      <c r="BI564" s="511"/>
      <c r="BJ564" s="380"/>
      <c r="BK564" s="380"/>
      <c r="BL564" s="380"/>
      <c r="BM564" s="380"/>
      <c r="BN564" s="380"/>
      <c r="BO564" s="380"/>
      <c r="BP564" s="380"/>
      <c r="BQ564" s="380"/>
      <c r="BR564" s="380"/>
    </row>
    <row r="565" spans="1:70" ht="12.75" customHeight="1" x14ac:dyDescent="0.25">
      <c r="A565" s="380"/>
      <c r="B565" s="380"/>
      <c r="C565" s="380"/>
      <c r="D565" s="380"/>
      <c r="E565" s="511"/>
      <c r="F565" s="511"/>
      <c r="G565" s="582"/>
      <c r="H565" s="511"/>
      <c r="I565" s="511"/>
      <c r="J565" s="582"/>
      <c r="K565" s="511"/>
      <c r="L565" s="511"/>
      <c r="M565" s="582"/>
      <c r="N565" s="582"/>
      <c r="O565" s="582"/>
      <c r="P565" s="582"/>
      <c r="Q565" s="511"/>
      <c r="R565" s="511"/>
      <c r="S565" s="511"/>
      <c r="T565" s="639"/>
      <c r="U565" s="511"/>
      <c r="V565" s="511"/>
      <c r="W565" s="511"/>
      <c r="X565" s="511"/>
      <c r="Y565" s="380"/>
      <c r="Z565" s="380"/>
      <c r="AA565" s="380"/>
      <c r="AB565" s="380"/>
      <c r="AC565" s="380"/>
      <c r="AD565" s="671"/>
      <c r="AE565" s="380"/>
      <c r="AF565" s="380"/>
      <c r="AG565" s="380"/>
      <c r="AH565" s="671"/>
      <c r="AI565" s="380"/>
      <c r="AJ565" s="583"/>
      <c r="AK565" s="583"/>
      <c r="AL565" s="511"/>
      <c r="AM565" s="584"/>
      <c r="AN565" s="584"/>
      <c r="AO565" s="584"/>
      <c r="AP565" s="671"/>
      <c r="AQ565" s="584"/>
      <c r="AR565" s="583"/>
      <c r="AS565" s="583"/>
      <c r="AT565" s="585"/>
      <c r="AU565" s="585"/>
      <c r="AV565" s="585"/>
      <c r="AW565" s="585"/>
      <c r="AX565" s="673"/>
      <c r="AY565" s="380"/>
      <c r="AZ565" s="380"/>
      <c r="BA565" s="380"/>
      <c r="BB565" s="380"/>
      <c r="BC565" s="380"/>
      <c r="BD565" s="380"/>
      <c r="BE565" s="380"/>
      <c r="BF565" s="380"/>
      <c r="BG565" s="380"/>
      <c r="BH565" s="380"/>
      <c r="BI565" s="511"/>
      <c r="BJ565" s="380"/>
      <c r="BK565" s="380"/>
      <c r="BL565" s="380"/>
      <c r="BM565" s="380"/>
      <c r="BN565" s="380"/>
      <c r="BO565" s="380"/>
      <c r="BP565" s="380"/>
      <c r="BQ565" s="380"/>
      <c r="BR565" s="380"/>
    </row>
    <row r="566" spans="1:70" ht="12.75" customHeight="1" x14ac:dyDescent="0.25">
      <c r="A566" s="380"/>
      <c r="B566" s="380"/>
      <c r="C566" s="380"/>
      <c r="D566" s="380"/>
      <c r="E566" s="511"/>
      <c r="F566" s="511"/>
      <c r="G566" s="582"/>
      <c r="H566" s="511"/>
      <c r="I566" s="511"/>
      <c r="J566" s="582"/>
      <c r="K566" s="511"/>
      <c r="L566" s="511"/>
      <c r="M566" s="582"/>
      <c r="N566" s="582"/>
      <c r="O566" s="582"/>
      <c r="P566" s="582"/>
      <c r="Q566" s="511"/>
      <c r="R566" s="511"/>
      <c r="S566" s="511"/>
      <c r="T566" s="639"/>
      <c r="U566" s="511"/>
      <c r="V566" s="511"/>
      <c r="W566" s="511"/>
      <c r="X566" s="511"/>
      <c r="Y566" s="380"/>
      <c r="Z566" s="380"/>
      <c r="AA566" s="380"/>
      <c r="AB566" s="380"/>
      <c r="AC566" s="380"/>
      <c r="AD566" s="671"/>
      <c r="AE566" s="380"/>
      <c r="AF566" s="380"/>
      <c r="AG566" s="380"/>
      <c r="AH566" s="671"/>
      <c r="AI566" s="380"/>
      <c r="AJ566" s="583"/>
      <c r="AK566" s="583"/>
      <c r="AL566" s="511"/>
      <c r="AM566" s="584"/>
      <c r="AN566" s="584"/>
      <c r="AO566" s="584"/>
      <c r="AP566" s="671"/>
      <c r="AQ566" s="584"/>
      <c r="AR566" s="583"/>
      <c r="AS566" s="583"/>
      <c r="AT566" s="585"/>
      <c r="AU566" s="585"/>
      <c r="AV566" s="585"/>
      <c r="AW566" s="585"/>
      <c r="AX566" s="673"/>
      <c r="AY566" s="380"/>
      <c r="AZ566" s="380"/>
      <c r="BA566" s="380"/>
      <c r="BB566" s="380"/>
      <c r="BC566" s="380"/>
      <c r="BD566" s="380"/>
      <c r="BE566" s="380"/>
      <c r="BF566" s="380"/>
      <c r="BG566" s="380"/>
      <c r="BH566" s="380"/>
      <c r="BI566" s="511"/>
      <c r="BJ566" s="380"/>
      <c r="BK566" s="380"/>
      <c r="BL566" s="380"/>
      <c r="BM566" s="380"/>
      <c r="BN566" s="380"/>
      <c r="BO566" s="380"/>
      <c r="BP566" s="380"/>
      <c r="BQ566" s="380"/>
      <c r="BR566" s="380"/>
    </row>
    <row r="567" spans="1:70" ht="12.75" customHeight="1" x14ac:dyDescent="0.25">
      <c r="A567" s="380"/>
      <c r="B567" s="380"/>
      <c r="C567" s="380"/>
      <c r="D567" s="380"/>
      <c r="E567" s="511"/>
      <c r="F567" s="511"/>
      <c r="G567" s="582"/>
      <c r="H567" s="511"/>
      <c r="I567" s="511"/>
      <c r="J567" s="582"/>
      <c r="K567" s="511"/>
      <c r="L567" s="511"/>
      <c r="M567" s="582"/>
      <c r="N567" s="582"/>
      <c r="O567" s="582"/>
      <c r="P567" s="582"/>
      <c r="Q567" s="511"/>
      <c r="R567" s="511"/>
      <c r="S567" s="511"/>
      <c r="T567" s="639"/>
      <c r="U567" s="511"/>
      <c r="V567" s="511"/>
      <c r="W567" s="511"/>
      <c r="X567" s="511"/>
      <c r="Y567" s="380"/>
      <c r="Z567" s="380"/>
      <c r="AA567" s="380"/>
      <c r="AB567" s="380"/>
      <c r="AC567" s="380"/>
      <c r="AD567" s="671"/>
      <c r="AE567" s="380"/>
      <c r="AF567" s="380"/>
      <c r="AG567" s="380"/>
      <c r="AH567" s="671"/>
      <c r="AI567" s="380"/>
      <c r="AJ567" s="583"/>
      <c r="AK567" s="583"/>
      <c r="AL567" s="511"/>
      <c r="AM567" s="584"/>
      <c r="AN567" s="584"/>
      <c r="AO567" s="584"/>
      <c r="AP567" s="671"/>
      <c r="AQ567" s="584"/>
      <c r="AR567" s="583"/>
      <c r="AS567" s="583"/>
      <c r="AT567" s="585"/>
      <c r="AU567" s="585"/>
      <c r="AV567" s="585"/>
      <c r="AW567" s="585"/>
      <c r="AX567" s="673"/>
      <c r="AY567" s="380"/>
      <c r="AZ567" s="380"/>
      <c r="BA567" s="380"/>
      <c r="BB567" s="380"/>
      <c r="BC567" s="380"/>
      <c r="BD567" s="380"/>
      <c r="BE567" s="380"/>
      <c r="BF567" s="380"/>
      <c r="BG567" s="380"/>
      <c r="BH567" s="380"/>
      <c r="BI567" s="511"/>
      <c r="BJ567" s="380"/>
      <c r="BK567" s="380"/>
      <c r="BL567" s="380"/>
      <c r="BM567" s="380"/>
      <c r="BN567" s="380"/>
      <c r="BO567" s="380"/>
      <c r="BP567" s="380"/>
      <c r="BQ567" s="380"/>
      <c r="BR567" s="380"/>
    </row>
    <row r="568" spans="1:70" ht="12.75" customHeight="1" x14ac:dyDescent="0.25">
      <c r="A568" s="380"/>
      <c r="B568" s="380"/>
      <c r="C568" s="380"/>
      <c r="D568" s="380"/>
      <c r="E568" s="511"/>
      <c r="F568" s="511"/>
      <c r="G568" s="582"/>
      <c r="H568" s="511"/>
      <c r="I568" s="511"/>
      <c r="J568" s="582"/>
      <c r="K568" s="511"/>
      <c r="L568" s="511"/>
      <c r="M568" s="582"/>
      <c r="N568" s="582"/>
      <c r="O568" s="582"/>
      <c r="P568" s="582"/>
      <c r="Q568" s="511"/>
      <c r="R568" s="511"/>
      <c r="S568" s="511"/>
      <c r="T568" s="639"/>
      <c r="U568" s="511"/>
      <c r="V568" s="511"/>
      <c r="W568" s="511"/>
      <c r="X568" s="511"/>
      <c r="Y568" s="380"/>
      <c r="Z568" s="380"/>
      <c r="AA568" s="380"/>
      <c r="AB568" s="380"/>
      <c r="AC568" s="380"/>
      <c r="AD568" s="671"/>
      <c r="AE568" s="380"/>
      <c r="AF568" s="380"/>
      <c r="AG568" s="380"/>
      <c r="AH568" s="671"/>
      <c r="AI568" s="380"/>
      <c r="AJ568" s="583"/>
      <c r="AK568" s="583"/>
      <c r="AL568" s="511"/>
      <c r="AM568" s="584"/>
      <c r="AN568" s="584"/>
      <c r="AO568" s="584"/>
      <c r="AP568" s="671"/>
      <c r="AQ568" s="584"/>
      <c r="AR568" s="583"/>
      <c r="AS568" s="583"/>
      <c r="AT568" s="585"/>
      <c r="AU568" s="585"/>
      <c r="AV568" s="585"/>
      <c r="AW568" s="585"/>
      <c r="AX568" s="673"/>
      <c r="AY568" s="380"/>
      <c r="AZ568" s="380"/>
      <c r="BA568" s="380"/>
      <c r="BB568" s="380"/>
      <c r="BC568" s="380"/>
      <c r="BD568" s="380"/>
      <c r="BE568" s="380"/>
      <c r="BF568" s="380"/>
      <c r="BG568" s="380"/>
      <c r="BH568" s="380"/>
      <c r="BI568" s="511"/>
      <c r="BJ568" s="380"/>
      <c r="BK568" s="380"/>
      <c r="BL568" s="380"/>
      <c r="BM568" s="380"/>
      <c r="BN568" s="380"/>
      <c r="BO568" s="380"/>
      <c r="BP568" s="380"/>
      <c r="BQ568" s="380"/>
      <c r="BR568" s="380"/>
    </row>
    <row r="569" spans="1:70" ht="12.75" customHeight="1" x14ac:dyDescent="0.25">
      <c r="A569" s="380"/>
      <c r="B569" s="380"/>
      <c r="C569" s="380"/>
      <c r="D569" s="380"/>
      <c r="E569" s="511"/>
      <c r="F569" s="511"/>
      <c r="G569" s="582"/>
      <c r="H569" s="511"/>
      <c r="I569" s="511"/>
      <c r="J569" s="582"/>
      <c r="K569" s="511"/>
      <c r="L569" s="511"/>
      <c r="M569" s="582"/>
      <c r="N569" s="582"/>
      <c r="O569" s="582"/>
      <c r="P569" s="582"/>
      <c r="Q569" s="511"/>
      <c r="R569" s="511"/>
      <c r="S569" s="511"/>
      <c r="T569" s="639"/>
      <c r="U569" s="511"/>
      <c r="V569" s="511"/>
      <c r="W569" s="511"/>
      <c r="X569" s="511"/>
      <c r="Y569" s="380"/>
      <c r="Z569" s="380"/>
      <c r="AA569" s="380"/>
      <c r="AB569" s="380"/>
      <c r="AC569" s="380"/>
      <c r="AD569" s="671"/>
      <c r="AE569" s="380"/>
      <c r="AF569" s="380"/>
      <c r="AG569" s="380"/>
      <c r="AH569" s="671"/>
      <c r="AI569" s="380"/>
      <c r="AJ569" s="583"/>
      <c r="AK569" s="583"/>
      <c r="AL569" s="511"/>
      <c r="AM569" s="584"/>
      <c r="AN569" s="584"/>
      <c r="AO569" s="584"/>
      <c r="AP569" s="671"/>
      <c r="AQ569" s="584"/>
      <c r="AR569" s="583"/>
      <c r="AS569" s="583"/>
      <c r="AT569" s="585"/>
      <c r="AU569" s="585"/>
      <c r="AV569" s="585"/>
      <c r="AW569" s="585"/>
      <c r="AX569" s="673"/>
      <c r="AY569" s="380"/>
      <c r="AZ569" s="380"/>
      <c r="BA569" s="380"/>
      <c r="BB569" s="380"/>
      <c r="BC569" s="380"/>
      <c r="BD569" s="380"/>
      <c r="BE569" s="380"/>
      <c r="BF569" s="380"/>
      <c r="BG569" s="380"/>
      <c r="BH569" s="380"/>
      <c r="BI569" s="511"/>
      <c r="BJ569" s="380"/>
      <c r="BK569" s="380"/>
      <c r="BL569" s="380"/>
      <c r="BM569" s="380"/>
      <c r="BN569" s="380"/>
      <c r="BO569" s="380"/>
      <c r="BP569" s="380"/>
      <c r="BQ569" s="380"/>
      <c r="BR569" s="380"/>
    </row>
    <row r="570" spans="1:70" ht="12.75" customHeight="1" x14ac:dyDescent="0.25">
      <c r="A570" s="380"/>
      <c r="B570" s="380"/>
      <c r="C570" s="380"/>
      <c r="D570" s="380"/>
      <c r="E570" s="511"/>
      <c r="F570" s="511"/>
      <c r="G570" s="582"/>
      <c r="H570" s="511"/>
      <c r="I570" s="511"/>
      <c r="J570" s="582"/>
      <c r="K570" s="511"/>
      <c r="L570" s="511"/>
      <c r="M570" s="582"/>
      <c r="N570" s="582"/>
      <c r="O570" s="582"/>
      <c r="P570" s="582"/>
      <c r="Q570" s="511"/>
      <c r="R570" s="511"/>
      <c r="S570" s="511"/>
      <c r="T570" s="639"/>
      <c r="U570" s="511"/>
      <c r="V570" s="511"/>
      <c r="W570" s="511"/>
      <c r="X570" s="511"/>
      <c r="Y570" s="380"/>
      <c r="Z570" s="380"/>
      <c r="AA570" s="380"/>
      <c r="AB570" s="380"/>
      <c r="AC570" s="380"/>
      <c r="AD570" s="671"/>
      <c r="AE570" s="380"/>
      <c r="AF570" s="380"/>
      <c r="AG570" s="380"/>
      <c r="AH570" s="671"/>
      <c r="AI570" s="380"/>
      <c r="AJ570" s="583"/>
      <c r="AK570" s="583"/>
      <c r="AL570" s="511"/>
      <c r="AM570" s="584"/>
      <c r="AN570" s="584"/>
      <c r="AO570" s="584"/>
      <c r="AP570" s="671"/>
      <c r="AQ570" s="584"/>
      <c r="AR570" s="583"/>
      <c r="AS570" s="583"/>
      <c r="AT570" s="585"/>
      <c r="AU570" s="585"/>
      <c r="AV570" s="585"/>
      <c r="AW570" s="585"/>
      <c r="AX570" s="673"/>
      <c r="AY570" s="380"/>
      <c r="AZ570" s="380"/>
      <c r="BA570" s="380"/>
      <c r="BB570" s="380"/>
      <c r="BC570" s="380"/>
      <c r="BD570" s="380"/>
      <c r="BE570" s="380"/>
      <c r="BF570" s="380"/>
      <c r="BG570" s="380"/>
      <c r="BH570" s="380"/>
      <c r="BI570" s="511"/>
      <c r="BJ570" s="380"/>
      <c r="BK570" s="380"/>
      <c r="BL570" s="380"/>
      <c r="BM570" s="380"/>
      <c r="BN570" s="380"/>
      <c r="BO570" s="380"/>
      <c r="BP570" s="380"/>
      <c r="BQ570" s="380"/>
      <c r="BR570" s="380"/>
    </row>
    <row r="571" spans="1:70" ht="12.75" customHeight="1" x14ac:dyDescent="0.25">
      <c r="A571" s="380"/>
      <c r="B571" s="380"/>
      <c r="C571" s="380"/>
      <c r="D571" s="380"/>
      <c r="E571" s="511"/>
      <c r="F571" s="511"/>
      <c r="G571" s="582"/>
      <c r="H571" s="511"/>
      <c r="I571" s="511"/>
      <c r="J571" s="582"/>
      <c r="K571" s="511"/>
      <c r="L571" s="511"/>
      <c r="M571" s="582"/>
      <c r="N571" s="582"/>
      <c r="O571" s="582"/>
      <c r="P571" s="582"/>
      <c r="Q571" s="511"/>
      <c r="R571" s="511"/>
      <c r="S571" s="511"/>
      <c r="T571" s="639"/>
      <c r="U571" s="511"/>
      <c r="V571" s="511"/>
      <c r="W571" s="511"/>
      <c r="X571" s="511"/>
      <c r="Y571" s="380"/>
      <c r="Z571" s="380"/>
      <c r="AA571" s="380"/>
      <c r="AB571" s="380"/>
      <c r="AC571" s="380"/>
      <c r="AD571" s="671"/>
      <c r="AE571" s="380"/>
      <c r="AF571" s="380"/>
      <c r="AG571" s="380"/>
      <c r="AH571" s="671"/>
      <c r="AI571" s="380"/>
      <c r="AJ571" s="583"/>
      <c r="AK571" s="583"/>
      <c r="AL571" s="511"/>
      <c r="AM571" s="584"/>
      <c r="AN571" s="584"/>
      <c r="AO571" s="584"/>
      <c r="AP571" s="671"/>
      <c r="AQ571" s="584"/>
      <c r="AR571" s="583"/>
      <c r="AS571" s="583"/>
      <c r="AT571" s="585"/>
      <c r="AU571" s="585"/>
      <c r="AV571" s="585"/>
      <c r="AW571" s="585"/>
      <c r="AX571" s="673"/>
      <c r="AY571" s="380"/>
      <c r="AZ571" s="380"/>
      <c r="BA571" s="380"/>
      <c r="BB571" s="380"/>
      <c r="BC571" s="380"/>
      <c r="BD571" s="380"/>
      <c r="BE571" s="380"/>
      <c r="BF571" s="380"/>
      <c r="BG571" s="380"/>
      <c r="BH571" s="380"/>
      <c r="BI571" s="511"/>
      <c r="BJ571" s="380"/>
      <c r="BK571" s="380"/>
      <c r="BL571" s="380"/>
      <c r="BM571" s="380"/>
      <c r="BN571" s="380"/>
      <c r="BO571" s="380"/>
      <c r="BP571" s="380"/>
      <c r="BQ571" s="380"/>
      <c r="BR571" s="380"/>
    </row>
    <row r="572" spans="1:70" ht="12.75" customHeight="1" x14ac:dyDescent="0.25">
      <c r="A572" s="380"/>
      <c r="B572" s="380"/>
      <c r="C572" s="380"/>
      <c r="D572" s="380"/>
      <c r="E572" s="511"/>
      <c r="F572" s="511"/>
      <c r="G572" s="582"/>
      <c r="H572" s="511"/>
      <c r="I572" s="511"/>
      <c r="J572" s="582"/>
      <c r="K572" s="511"/>
      <c r="L572" s="511"/>
      <c r="M572" s="582"/>
      <c r="N572" s="582"/>
      <c r="O572" s="582"/>
      <c r="P572" s="582"/>
      <c r="Q572" s="511"/>
      <c r="R572" s="511"/>
      <c r="S572" s="511"/>
      <c r="T572" s="639"/>
      <c r="U572" s="511"/>
      <c r="V572" s="511"/>
      <c r="W572" s="511"/>
      <c r="X572" s="511"/>
      <c r="Y572" s="380"/>
      <c r="Z572" s="380"/>
      <c r="AA572" s="380"/>
      <c r="AB572" s="380"/>
      <c r="AC572" s="380"/>
      <c r="AD572" s="671"/>
      <c r="AE572" s="380"/>
      <c r="AF572" s="380"/>
      <c r="AG572" s="380"/>
      <c r="AH572" s="671"/>
      <c r="AI572" s="380"/>
      <c r="AJ572" s="583"/>
      <c r="AK572" s="583"/>
      <c r="AL572" s="511"/>
      <c r="AM572" s="584"/>
      <c r="AN572" s="584"/>
      <c r="AO572" s="584"/>
      <c r="AP572" s="671"/>
      <c r="AQ572" s="584"/>
      <c r="AR572" s="583"/>
      <c r="AS572" s="583"/>
      <c r="AT572" s="585"/>
      <c r="AU572" s="585"/>
      <c r="AV572" s="585"/>
      <c r="AW572" s="585"/>
      <c r="AX572" s="673"/>
      <c r="AY572" s="380"/>
      <c r="AZ572" s="380"/>
      <c r="BA572" s="380"/>
      <c r="BB572" s="380"/>
      <c r="BC572" s="380"/>
      <c r="BD572" s="380"/>
      <c r="BE572" s="380"/>
      <c r="BF572" s="380"/>
      <c r="BG572" s="380"/>
      <c r="BH572" s="380"/>
      <c r="BI572" s="511"/>
      <c r="BJ572" s="380"/>
      <c r="BK572" s="380"/>
      <c r="BL572" s="380"/>
      <c r="BM572" s="380"/>
      <c r="BN572" s="380"/>
      <c r="BO572" s="380"/>
      <c r="BP572" s="380"/>
      <c r="BQ572" s="380"/>
      <c r="BR572" s="380"/>
    </row>
    <row r="573" spans="1:70" ht="12.75" customHeight="1" x14ac:dyDescent="0.25">
      <c r="A573" s="380"/>
      <c r="B573" s="380"/>
      <c r="C573" s="380"/>
      <c r="D573" s="380"/>
      <c r="E573" s="511"/>
      <c r="F573" s="511"/>
      <c r="G573" s="582"/>
      <c r="H573" s="511"/>
      <c r="I573" s="511"/>
      <c r="J573" s="582"/>
      <c r="K573" s="511"/>
      <c r="L573" s="511"/>
      <c r="M573" s="582"/>
      <c r="N573" s="582"/>
      <c r="O573" s="582"/>
      <c r="P573" s="582"/>
      <c r="Q573" s="511"/>
      <c r="R573" s="511"/>
      <c r="S573" s="511"/>
      <c r="T573" s="639"/>
      <c r="U573" s="511"/>
      <c r="V573" s="511"/>
      <c r="W573" s="511"/>
      <c r="X573" s="511"/>
      <c r="Y573" s="380"/>
      <c r="Z573" s="380"/>
      <c r="AA573" s="380"/>
      <c r="AB573" s="380"/>
      <c r="AC573" s="380"/>
      <c r="AD573" s="671"/>
      <c r="AE573" s="380"/>
      <c r="AF573" s="380"/>
      <c r="AG573" s="380"/>
      <c r="AH573" s="671"/>
      <c r="AI573" s="380"/>
      <c r="AJ573" s="583"/>
      <c r="AK573" s="583"/>
      <c r="AL573" s="511"/>
      <c r="AM573" s="584"/>
      <c r="AN573" s="584"/>
      <c r="AO573" s="584"/>
      <c r="AP573" s="671"/>
      <c r="AQ573" s="584"/>
      <c r="AR573" s="583"/>
      <c r="AS573" s="583"/>
      <c r="AT573" s="585"/>
      <c r="AU573" s="585"/>
      <c r="AV573" s="585"/>
      <c r="AW573" s="585"/>
      <c r="AX573" s="673"/>
      <c r="AY573" s="380"/>
      <c r="AZ573" s="380"/>
      <c r="BA573" s="380"/>
      <c r="BB573" s="380"/>
      <c r="BC573" s="380"/>
      <c r="BD573" s="380"/>
      <c r="BE573" s="380"/>
      <c r="BF573" s="380"/>
      <c r="BG573" s="380"/>
      <c r="BH573" s="380"/>
      <c r="BI573" s="511"/>
      <c r="BJ573" s="380"/>
      <c r="BK573" s="380"/>
      <c r="BL573" s="380"/>
      <c r="BM573" s="380"/>
      <c r="BN573" s="380"/>
      <c r="BO573" s="380"/>
      <c r="BP573" s="380"/>
      <c r="BQ573" s="380"/>
      <c r="BR573" s="380"/>
    </row>
    <row r="574" spans="1:70" ht="12.75" customHeight="1" x14ac:dyDescent="0.25">
      <c r="A574" s="380"/>
      <c r="B574" s="380"/>
      <c r="C574" s="380"/>
      <c r="D574" s="380"/>
      <c r="E574" s="511"/>
      <c r="F574" s="511"/>
      <c r="G574" s="582"/>
      <c r="H574" s="511"/>
      <c r="I574" s="511"/>
      <c r="J574" s="582"/>
      <c r="K574" s="511"/>
      <c r="L574" s="511"/>
      <c r="M574" s="582"/>
      <c r="N574" s="582"/>
      <c r="O574" s="582"/>
      <c r="P574" s="582"/>
      <c r="Q574" s="511"/>
      <c r="R574" s="511"/>
      <c r="S574" s="511"/>
      <c r="T574" s="639"/>
      <c r="U574" s="511"/>
      <c r="V574" s="511"/>
      <c r="W574" s="511"/>
      <c r="X574" s="511"/>
      <c r="Y574" s="380"/>
      <c r="Z574" s="380"/>
      <c r="AA574" s="380"/>
      <c r="AB574" s="380"/>
      <c r="AC574" s="380"/>
      <c r="AD574" s="671"/>
      <c r="AE574" s="380"/>
      <c r="AF574" s="380"/>
      <c r="AG574" s="380"/>
      <c r="AH574" s="671"/>
      <c r="AI574" s="380"/>
      <c r="AJ574" s="583"/>
      <c r="AK574" s="583"/>
      <c r="AL574" s="511"/>
      <c r="AM574" s="584"/>
      <c r="AN574" s="584"/>
      <c r="AO574" s="584"/>
      <c r="AP574" s="671"/>
      <c r="AQ574" s="584"/>
      <c r="AR574" s="583"/>
      <c r="AS574" s="583"/>
      <c r="AT574" s="585"/>
      <c r="AU574" s="585"/>
      <c r="AV574" s="585"/>
      <c r="AW574" s="585"/>
      <c r="AX574" s="673"/>
      <c r="AY574" s="380"/>
      <c r="AZ574" s="380"/>
      <c r="BA574" s="380"/>
      <c r="BB574" s="380"/>
      <c r="BC574" s="380"/>
      <c r="BD574" s="380"/>
      <c r="BE574" s="380"/>
      <c r="BF574" s="380"/>
      <c r="BG574" s="380"/>
      <c r="BH574" s="380"/>
      <c r="BI574" s="511"/>
      <c r="BJ574" s="380"/>
      <c r="BK574" s="380"/>
      <c r="BL574" s="380"/>
      <c r="BM574" s="380"/>
      <c r="BN574" s="380"/>
      <c r="BO574" s="380"/>
      <c r="BP574" s="380"/>
      <c r="BQ574" s="380"/>
      <c r="BR574" s="380"/>
    </row>
    <row r="575" spans="1:70" ht="12.75" customHeight="1" x14ac:dyDescent="0.25">
      <c r="A575" s="380"/>
      <c r="B575" s="380"/>
      <c r="C575" s="380"/>
      <c r="D575" s="380"/>
      <c r="E575" s="511"/>
      <c r="F575" s="511"/>
      <c r="G575" s="582"/>
      <c r="H575" s="511"/>
      <c r="I575" s="511"/>
      <c r="J575" s="582"/>
      <c r="K575" s="511"/>
      <c r="L575" s="511"/>
      <c r="M575" s="582"/>
      <c r="N575" s="582"/>
      <c r="O575" s="582"/>
      <c r="P575" s="582"/>
      <c r="Q575" s="511"/>
      <c r="R575" s="511"/>
      <c r="S575" s="511"/>
      <c r="T575" s="639"/>
      <c r="U575" s="511"/>
      <c r="V575" s="511"/>
      <c r="W575" s="511"/>
      <c r="X575" s="511"/>
      <c r="Y575" s="380"/>
      <c r="Z575" s="380"/>
      <c r="AA575" s="380"/>
      <c r="AB575" s="380"/>
      <c r="AC575" s="380"/>
      <c r="AD575" s="671"/>
      <c r="AE575" s="380"/>
      <c r="AF575" s="380"/>
      <c r="AG575" s="380"/>
      <c r="AH575" s="671"/>
      <c r="AI575" s="380"/>
      <c r="AJ575" s="583"/>
      <c r="AK575" s="583"/>
      <c r="AL575" s="511"/>
      <c r="AM575" s="584"/>
      <c r="AN575" s="584"/>
      <c r="AO575" s="584"/>
      <c r="AP575" s="671"/>
      <c r="AQ575" s="584"/>
      <c r="AR575" s="583"/>
      <c r="AS575" s="583"/>
      <c r="AT575" s="585"/>
      <c r="AU575" s="585"/>
      <c r="AV575" s="585"/>
      <c r="AW575" s="585"/>
      <c r="AX575" s="673"/>
      <c r="AY575" s="380"/>
      <c r="AZ575" s="380"/>
      <c r="BA575" s="380"/>
      <c r="BB575" s="380"/>
      <c r="BC575" s="380"/>
      <c r="BD575" s="380"/>
      <c r="BE575" s="380"/>
      <c r="BF575" s="380"/>
      <c r="BG575" s="380"/>
      <c r="BH575" s="380"/>
      <c r="BI575" s="511"/>
      <c r="BJ575" s="380"/>
      <c r="BK575" s="380"/>
      <c r="BL575" s="380"/>
      <c r="BM575" s="380"/>
      <c r="BN575" s="380"/>
      <c r="BO575" s="380"/>
      <c r="BP575" s="380"/>
      <c r="BQ575" s="380"/>
      <c r="BR575" s="380"/>
    </row>
    <row r="576" spans="1:70" ht="12.75" customHeight="1" x14ac:dyDescent="0.25">
      <c r="A576" s="380"/>
      <c r="B576" s="380"/>
      <c r="C576" s="380"/>
      <c r="D576" s="380"/>
      <c r="E576" s="511"/>
      <c r="F576" s="511"/>
      <c r="G576" s="582"/>
      <c r="H576" s="511"/>
      <c r="I576" s="511"/>
      <c r="J576" s="582"/>
      <c r="K576" s="511"/>
      <c r="L576" s="511"/>
      <c r="M576" s="582"/>
      <c r="N576" s="582"/>
      <c r="O576" s="582"/>
      <c r="P576" s="582"/>
      <c r="Q576" s="511"/>
      <c r="R576" s="511"/>
      <c r="S576" s="511"/>
      <c r="T576" s="639"/>
      <c r="U576" s="511"/>
      <c r="V576" s="511"/>
      <c r="W576" s="511"/>
      <c r="X576" s="511"/>
      <c r="Y576" s="380"/>
      <c r="Z576" s="380"/>
      <c r="AA576" s="380"/>
      <c r="AB576" s="380"/>
      <c r="AC576" s="380"/>
      <c r="AD576" s="671"/>
      <c r="AE576" s="380"/>
      <c r="AF576" s="380"/>
      <c r="AG576" s="380"/>
      <c r="AH576" s="671"/>
      <c r="AI576" s="380"/>
      <c r="AJ576" s="583"/>
      <c r="AK576" s="583"/>
      <c r="AL576" s="511"/>
      <c r="AM576" s="584"/>
      <c r="AN576" s="584"/>
      <c r="AO576" s="584"/>
      <c r="AP576" s="671"/>
      <c r="AQ576" s="584"/>
      <c r="AR576" s="583"/>
      <c r="AS576" s="583"/>
      <c r="AT576" s="585"/>
      <c r="AU576" s="585"/>
      <c r="AV576" s="585"/>
      <c r="AW576" s="585"/>
      <c r="AX576" s="673"/>
      <c r="AY576" s="380"/>
      <c r="AZ576" s="380"/>
      <c r="BA576" s="380"/>
      <c r="BB576" s="380"/>
      <c r="BC576" s="380"/>
      <c r="BD576" s="380"/>
      <c r="BE576" s="380"/>
      <c r="BF576" s="380"/>
      <c r="BG576" s="380"/>
      <c r="BH576" s="380"/>
      <c r="BI576" s="511"/>
      <c r="BJ576" s="380"/>
      <c r="BK576" s="380"/>
      <c r="BL576" s="380"/>
      <c r="BM576" s="380"/>
      <c r="BN576" s="380"/>
      <c r="BO576" s="380"/>
      <c r="BP576" s="380"/>
      <c r="BQ576" s="380"/>
      <c r="BR576" s="380"/>
    </row>
    <row r="577" spans="1:70" ht="12.75" customHeight="1" x14ac:dyDescent="0.25">
      <c r="A577" s="380"/>
      <c r="B577" s="380"/>
      <c r="C577" s="380"/>
      <c r="D577" s="380"/>
      <c r="E577" s="511"/>
      <c r="F577" s="511"/>
      <c r="G577" s="582"/>
      <c r="H577" s="511"/>
      <c r="I577" s="511"/>
      <c r="J577" s="582"/>
      <c r="K577" s="511"/>
      <c r="L577" s="511"/>
      <c r="M577" s="582"/>
      <c r="N577" s="582"/>
      <c r="O577" s="582"/>
      <c r="P577" s="582"/>
      <c r="Q577" s="511"/>
      <c r="R577" s="511"/>
      <c r="S577" s="511"/>
      <c r="T577" s="639"/>
      <c r="U577" s="511"/>
      <c r="V577" s="511"/>
      <c r="W577" s="511"/>
      <c r="X577" s="511"/>
      <c r="Y577" s="380"/>
      <c r="Z577" s="380"/>
      <c r="AA577" s="380"/>
      <c r="AB577" s="380"/>
      <c r="AC577" s="380"/>
      <c r="AD577" s="671"/>
      <c r="AE577" s="380"/>
      <c r="AF577" s="380"/>
      <c r="AG577" s="380"/>
      <c r="AH577" s="671"/>
      <c r="AI577" s="380"/>
      <c r="AJ577" s="583"/>
      <c r="AK577" s="583"/>
      <c r="AL577" s="511"/>
      <c r="AM577" s="584"/>
      <c r="AN577" s="584"/>
      <c r="AO577" s="584"/>
      <c r="AP577" s="671"/>
      <c r="AQ577" s="584"/>
      <c r="AR577" s="583"/>
      <c r="AS577" s="583"/>
      <c r="AT577" s="585"/>
      <c r="AU577" s="585"/>
      <c r="AV577" s="585"/>
      <c r="AW577" s="585"/>
      <c r="AX577" s="673"/>
      <c r="AY577" s="380"/>
      <c r="AZ577" s="380"/>
      <c r="BA577" s="380"/>
      <c r="BB577" s="380"/>
      <c r="BC577" s="380"/>
      <c r="BD577" s="380"/>
      <c r="BE577" s="380"/>
      <c r="BF577" s="380"/>
      <c r="BG577" s="380"/>
      <c r="BH577" s="380"/>
      <c r="BI577" s="511"/>
      <c r="BJ577" s="380"/>
      <c r="BK577" s="380"/>
      <c r="BL577" s="380"/>
      <c r="BM577" s="380"/>
      <c r="BN577" s="380"/>
      <c r="BO577" s="380"/>
      <c r="BP577" s="380"/>
      <c r="BQ577" s="380"/>
      <c r="BR577" s="380"/>
    </row>
    <row r="578" spans="1:70" ht="12.75" customHeight="1" x14ac:dyDescent="0.25">
      <c r="A578" s="380"/>
      <c r="B578" s="380"/>
      <c r="C578" s="380"/>
      <c r="D578" s="380"/>
      <c r="E578" s="511"/>
      <c r="F578" s="511"/>
      <c r="G578" s="582"/>
      <c r="H578" s="511"/>
      <c r="I578" s="511"/>
      <c r="J578" s="582"/>
      <c r="K578" s="511"/>
      <c r="L578" s="511"/>
      <c r="M578" s="582"/>
      <c r="N578" s="582"/>
      <c r="O578" s="582"/>
      <c r="P578" s="582"/>
      <c r="Q578" s="511"/>
      <c r="R578" s="511"/>
      <c r="S578" s="511"/>
      <c r="T578" s="639"/>
      <c r="U578" s="511"/>
      <c r="V578" s="511"/>
      <c r="W578" s="511"/>
      <c r="X578" s="511"/>
      <c r="Y578" s="380"/>
      <c r="Z578" s="380"/>
      <c r="AA578" s="380"/>
      <c r="AB578" s="380"/>
      <c r="AC578" s="380"/>
      <c r="AD578" s="671"/>
      <c r="AE578" s="380"/>
      <c r="AF578" s="380"/>
      <c r="AG578" s="380"/>
      <c r="AH578" s="671"/>
      <c r="AI578" s="380"/>
      <c r="AJ578" s="583"/>
      <c r="AK578" s="583"/>
      <c r="AL578" s="511"/>
      <c r="AM578" s="584"/>
      <c r="AN578" s="584"/>
      <c r="AO578" s="584"/>
      <c r="AP578" s="671"/>
      <c r="AQ578" s="584"/>
      <c r="AR578" s="583"/>
      <c r="AS578" s="583"/>
      <c r="AT578" s="585"/>
      <c r="AU578" s="585"/>
      <c r="AV578" s="585"/>
      <c r="AW578" s="585"/>
      <c r="AX578" s="673"/>
      <c r="AY578" s="380"/>
      <c r="AZ578" s="380"/>
      <c r="BA578" s="380"/>
      <c r="BB578" s="380"/>
      <c r="BC578" s="380"/>
      <c r="BD578" s="380"/>
      <c r="BE578" s="380"/>
      <c r="BF578" s="380"/>
      <c r="BG578" s="380"/>
      <c r="BH578" s="380"/>
      <c r="BI578" s="511"/>
      <c r="BJ578" s="380"/>
      <c r="BK578" s="380"/>
      <c r="BL578" s="380"/>
      <c r="BM578" s="380"/>
      <c r="BN578" s="380"/>
      <c r="BO578" s="380"/>
      <c r="BP578" s="380"/>
      <c r="BQ578" s="380"/>
      <c r="BR578" s="380"/>
    </row>
    <row r="579" spans="1:70" ht="12.75" customHeight="1" x14ac:dyDescent="0.25">
      <c r="A579" s="380"/>
      <c r="B579" s="380"/>
      <c r="C579" s="380"/>
      <c r="D579" s="380"/>
      <c r="E579" s="511"/>
      <c r="F579" s="511"/>
      <c r="G579" s="582"/>
      <c r="H579" s="511"/>
      <c r="I579" s="511"/>
      <c r="J579" s="582"/>
      <c r="K579" s="511"/>
      <c r="L579" s="511"/>
      <c r="M579" s="582"/>
      <c r="N579" s="582"/>
      <c r="O579" s="582"/>
      <c r="P579" s="582"/>
      <c r="Q579" s="511"/>
      <c r="R579" s="511"/>
      <c r="S579" s="511"/>
      <c r="T579" s="639"/>
      <c r="U579" s="511"/>
      <c r="V579" s="511"/>
      <c r="W579" s="511"/>
      <c r="X579" s="511"/>
      <c r="Y579" s="380"/>
      <c r="Z579" s="380"/>
      <c r="AA579" s="380"/>
      <c r="AB579" s="380"/>
      <c r="AC579" s="380"/>
      <c r="AD579" s="671"/>
      <c r="AE579" s="380"/>
      <c r="AF579" s="380"/>
      <c r="AG579" s="380"/>
      <c r="AH579" s="671"/>
      <c r="AI579" s="380"/>
      <c r="AJ579" s="583"/>
      <c r="AK579" s="583"/>
      <c r="AL579" s="511"/>
      <c r="AM579" s="584"/>
      <c r="AN579" s="584"/>
      <c r="AO579" s="584"/>
      <c r="AP579" s="671"/>
      <c r="AQ579" s="584"/>
      <c r="AR579" s="583"/>
      <c r="AS579" s="583"/>
      <c r="AT579" s="585"/>
      <c r="AU579" s="585"/>
      <c r="AV579" s="585"/>
      <c r="AW579" s="585"/>
      <c r="AX579" s="673"/>
      <c r="AY579" s="380"/>
      <c r="AZ579" s="380"/>
      <c r="BA579" s="380"/>
      <c r="BB579" s="380"/>
      <c r="BC579" s="380"/>
      <c r="BD579" s="380"/>
      <c r="BE579" s="380"/>
      <c r="BF579" s="380"/>
      <c r="BG579" s="380"/>
      <c r="BH579" s="380"/>
      <c r="BI579" s="511"/>
      <c r="BJ579" s="380"/>
      <c r="BK579" s="380"/>
      <c r="BL579" s="380"/>
      <c r="BM579" s="380"/>
      <c r="BN579" s="380"/>
      <c r="BO579" s="380"/>
      <c r="BP579" s="380"/>
      <c r="BQ579" s="380"/>
      <c r="BR579" s="380"/>
    </row>
    <row r="580" spans="1:70" ht="12.75" customHeight="1" x14ac:dyDescent="0.25">
      <c r="A580" s="380"/>
      <c r="B580" s="380"/>
      <c r="C580" s="380"/>
      <c r="D580" s="380"/>
      <c r="E580" s="511"/>
      <c r="F580" s="511"/>
      <c r="G580" s="582"/>
      <c r="H580" s="511"/>
      <c r="I580" s="511"/>
      <c r="J580" s="582"/>
      <c r="K580" s="511"/>
      <c r="L580" s="511"/>
      <c r="M580" s="582"/>
      <c r="N580" s="582"/>
      <c r="O580" s="582"/>
      <c r="P580" s="582"/>
      <c r="Q580" s="511"/>
      <c r="R580" s="511"/>
      <c r="S580" s="511"/>
      <c r="T580" s="639"/>
      <c r="U580" s="511"/>
      <c r="V580" s="511"/>
      <c r="W580" s="511"/>
      <c r="X580" s="511"/>
      <c r="Y580" s="380"/>
      <c r="Z580" s="380"/>
      <c r="AA580" s="380"/>
      <c r="AB580" s="380"/>
      <c r="AC580" s="380"/>
      <c r="AD580" s="671"/>
      <c r="AE580" s="380"/>
      <c r="AF580" s="380"/>
      <c r="AG580" s="380"/>
      <c r="AH580" s="671"/>
      <c r="AI580" s="380"/>
      <c r="AJ580" s="583"/>
      <c r="AK580" s="583"/>
      <c r="AL580" s="511"/>
      <c r="AM580" s="584"/>
      <c r="AN580" s="584"/>
      <c r="AO580" s="584"/>
      <c r="AP580" s="671"/>
      <c r="AQ580" s="584"/>
      <c r="AR580" s="583"/>
      <c r="AS580" s="583"/>
      <c r="AT580" s="585"/>
      <c r="AU580" s="585"/>
      <c r="AV580" s="585"/>
      <c r="AW580" s="585"/>
      <c r="AX580" s="673"/>
      <c r="AY580" s="380"/>
      <c r="AZ580" s="380"/>
      <c r="BA580" s="380"/>
      <c r="BB580" s="380"/>
      <c r="BC580" s="380"/>
      <c r="BD580" s="380"/>
      <c r="BE580" s="380"/>
      <c r="BF580" s="380"/>
      <c r="BG580" s="380"/>
      <c r="BH580" s="380"/>
      <c r="BI580" s="511"/>
      <c r="BJ580" s="380"/>
      <c r="BK580" s="380"/>
      <c r="BL580" s="380"/>
      <c r="BM580" s="380"/>
      <c r="BN580" s="380"/>
      <c r="BO580" s="380"/>
      <c r="BP580" s="380"/>
      <c r="BQ580" s="380"/>
      <c r="BR580" s="380"/>
    </row>
    <row r="581" spans="1:70" ht="12.75" customHeight="1" x14ac:dyDescent="0.25">
      <c r="A581" s="380"/>
      <c r="B581" s="380"/>
      <c r="C581" s="380"/>
      <c r="D581" s="380"/>
      <c r="E581" s="511"/>
      <c r="F581" s="511"/>
      <c r="G581" s="582"/>
      <c r="H581" s="511"/>
      <c r="I581" s="511"/>
      <c r="J581" s="582"/>
      <c r="K581" s="511"/>
      <c r="L581" s="511"/>
      <c r="M581" s="582"/>
      <c r="N581" s="582"/>
      <c r="O581" s="582"/>
      <c r="P581" s="582"/>
      <c r="Q581" s="511"/>
      <c r="R581" s="511"/>
      <c r="S581" s="511"/>
      <c r="T581" s="639"/>
      <c r="U581" s="511"/>
      <c r="V581" s="511"/>
      <c r="W581" s="511"/>
      <c r="X581" s="511"/>
      <c r="Y581" s="380"/>
      <c r="Z581" s="380"/>
      <c r="AA581" s="380"/>
      <c r="AB581" s="380"/>
      <c r="AC581" s="380"/>
      <c r="AD581" s="671"/>
      <c r="AE581" s="380"/>
      <c r="AF581" s="380"/>
      <c r="AG581" s="380"/>
      <c r="AH581" s="671"/>
      <c r="AI581" s="380"/>
      <c r="AJ581" s="583"/>
      <c r="AK581" s="583"/>
      <c r="AL581" s="511"/>
      <c r="AM581" s="584"/>
      <c r="AN581" s="584"/>
      <c r="AO581" s="584"/>
      <c r="AP581" s="671"/>
      <c r="AQ581" s="584"/>
      <c r="AR581" s="583"/>
      <c r="AS581" s="583"/>
      <c r="AT581" s="585"/>
      <c r="AU581" s="585"/>
      <c r="AV581" s="585"/>
      <c r="AW581" s="585"/>
      <c r="AX581" s="673"/>
      <c r="AY581" s="380"/>
      <c r="AZ581" s="380"/>
      <c r="BA581" s="380"/>
      <c r="BB581" s="380"/>
      <c r="BC581" s="380"/>
      <c r="BD581" s="380"/>
      <c r="BE581" s="380"/>
      <c r="BF581" s="380"/>
      <c r="BG581" s="380"/>
      <c r="BH581" s="380"/>
      <c r="BI581" s="511"/>
      <c r="BJ581" s="380"/>
      <c r="BK581" s="380"/>
      <c r="BL581" s="380"/>
      <c r="BM581" s="380"/>
      <c r="BN581" s="380"/>
      <c r="BO581" s="380"/>
      <c r="BP581" s="380"/>
      <c r="BQ581" s="380"/>
      <c r="BR581" s="380"/>
    </row>
    <row r="582" spans="1:70" ht="12.75" customHeight="1" x14ac:dyDescent="0.25">
      <c r="A582" s="380"/>
      <c r="B582" s="380"/>
      <c r="C582" s="380"/>
      <c r="D582" s="380"/>
      <c r="E582" s="511"/>
      <c r="F582" s="511"/>
      <c r="G582" s="582"/>
      <c r="H582" s="511"/>
      <c r="I582" s="511"/>
      <c r="J582" s="582"/>
      <c r="K582" s="511"/>
      <c r="L582" s="511"/>
      <c r="M582" s="582"/>
      <c r="N582" s="582"/>
      <c r="O582" s="582"/>
      <c r="P582" s="582"/>
      <c r="Q582" s="511"/>
      <c r="R582" s="511"/>
      <c r="S582" s="511"/>
      <c r="T582" s="639"/>
      <c r="U582" s="511"/>
      <c r="V582" s="511"/>
      <c r="W582" s="511"/>
      <c r="X582" s="511"/>
      <c r="Y582" s="380"/>
      <c r="Z582" s="380"/>
      <c r="AA582" s="380"/>
      <c r="AB582" s="380"/>
      <c r="AC582" s="380"/>
      <c r="AD582" s="671"/>
      <c r="AE582" s="380"/>
      <c r="AF582" s="380"/>
      <c r="AG582" s="380"/>
      <c r="AH582" s="671"/>
      <c r="AI582" s="380"/>
      <c r="AJ582" s="583"/>
      <c r="AK582" s="583"/>
      <c r="AL582" s="511"/>
      <c r="AM582" s="584"/>
      <c r="AN582" s="584"/>
      <c r="AO582" s="584"/>
      <c r="AP582" s="671"/>
      <c r="AQ582" s="584"/>
      <c r="AR582" s="583"/>
      <c r="AS582" s="583"/>
      <c r="AT582" s="585"/>
      <c r="AU582" s="585"/>
      <c r="AV582" s="585"/>
      <c r="AW582" s="585"/>
      <c r="AX582" s="673"/>
      <c r="AY582" s="380"/>
      <c r="AZ582" s="380"/>
      <c r="BA582" s="380"/>
      <c r="BB582" s="380"/>
      <c r="BC582" s="380"/>
      <c r="BD582" s="380"/>
      <c r="BE582" s="380"/>
      <c r="BF582" s="380"/>
      <c r="BG582" s="380"/>
      <c r="BH582" s="380"/>
      <c r="BI582" s="511"/>
      <c r="BJ582" s="380"/>
      <c r="BK582" s="380"/>
      <c r="BL582" s="380"/>
      <c r="BM582" s="380"/>
      <c r="BN582" s="380"/>
      <c r="BO582" s="380"/>
      <c r="BP582" s="380"/>
      <c r="BQ582" s="380"/>
      <c r="BR582" s="380"/>
    </row>
    <row r="583" spans="1:70" ht="12.75" customHeight="1" x14ac:dyDescent="0.25">
      <c r="A583" s="380"/>
      <c r="B583" s="380"/>
      <c r="C583" s="380"/>
      <c r="D583" s="380"/>
      <c r="E583" s="511"/>
      <c r="F583" s="511"/>
      <c r="G583" s="582"/>
      <c r="H583" s="511"/>
      <c r="I583" s="511"/>
      <c r="J583" s="582"/>
      <c r="K583" s="511"/>
      <c r="L583" s="511"/>
      <c r="M583" s="582"/>
      <c r="N583" s="582"/>
      <c r="O583" s="582"/>
      <c r="P583" s="582"/>
      <c r="Q583" s="511"/>
      <c r="R583" s="511"/>
      <c r="S583" s="511"/>
      <c r="T583" s="639"/>
      <c r="U583" s="511"/>
      <c r="V583" s="511"/>
      <c r="W583" s="511"/>
      <c r="X583" s="511"/>
      <c r="Y583" s="380"/>
      <c r="Z583" s="380"/>
      <c r="AA583" s="380"/>
      <c r="AB583" s="380"/>
      <c r="AC583" s="380"/>
      <c r="AD583" s="671"/>
      <c r="AE583" s="380"/>
      <c r="AF583" s="380"/>
      <c r="AG583" s="380"/>
      <c r="AH583" s="671"/>
      <c r="AI583" s="380"/>
      <c r="AJ583" s="583"/>
      <c r="AK583" s="583"/>
      <c r="AL583" s="511"/>
      <c r="AM583" s="584"/>
      <c r="AN583" s="584"/>
      <c r="AO583" s="584"/>
      <c r="AP583" s="671"/>
      <c r="AQ583" s="584"/>
      <c r="AR583" s="583"/>
      <c r="AS583" s="583"/>
      <c r="AT583" s="585"/>
      <c r="AU583" s="585"/>
      <c r="AV583" s="585"/>
      <c r="AW583" s="585"/>
      <c r="AX583" s="673"/>
      <c r="AY583" s="380"/>
      <c r="AZ583" s="380"/>
      <c r="BA583" s="380"/>
      <c r="BB583" s="380"/>
      <c r="BC583" s="380"/>
      <c r="BD583" s="380"/>
      <c r="BE583" s="380"/>
      <c r="BF583" s="380"/>
      <c r="BG583" s="380"/>
      <c r="BH583" s="380"/>
      <c r="BI583" s="511"/>
      <c r="BJ583" s="380"/>
      <c r="BK583" s="380"/>
      <c r="BL583" s="380"/>
      <c r="BM583" s="380"/>
      <c r="BN583" s="380"/>
      <c r="BO583" s="380"/>
      <c r="BP583" s="380"/>
      <c r="BQ583" s="380"/>
      <c r="BR583" s="380"/>
    </row>
    <row r="584" spans="1:70" ht="12.75" customHeight="1" x14ac:dyDescent="0.25">
      <c r="A584" s="380"/>
      <c r="B584" s="380"/>
      <c r="C584" s="380"/>
      <c r="D584" s="380"/>
      <c r="E584" s="511"/>
      <c r="F584" s="511"/>
      <c r="G584" s="582"/>
      <c r="H584" s="511"/>
      <c r="I584" s="511"/>
      <c r="J584" s="582"/>
      <c r="K584" s="511"/>
      <c r="L584" s="511"/>
      <c r="M584" s="582"/>
      <c r="N584" s="582"/>
      <c r="O584" s="582"/>
      <c r="P584" s="582"/>
      <c r="Q584" s="511"/>
      <c r="R584" s="511"/>
      <c r="S584" s="511"/>
      <c r="T584" s="639"/>
      <c r="U584" s="511"/>
      <c r="V584" s="511"/>
      <c r="W584" s="511"/>
      <c r="X584" s="511"/>
      <c r="Y584" s="380"/>
      <c r="Z584" s="380"/>
      <c r="AA584" s="380"/>
      <c r="AB584" s="380"/>
      <c r="AC584" s="380"/>
      <c r="AD584" s="671"/>
      <c r="AE584" s="380"/>
      <c r="AF584" s="380"/>
      <c r="AG584" s="380"/>
      <c r="AH584" s="671"/>
      <c r="AI584" s="380"/>
      <c r="AJ584" s="583"/>
      <c r="AK584" s="583"/>
      <c r="AL584" s="511"/>
      <c r="AM584" s="584"/>
      <c r="AN584" s="584"/>
      <c r="AO584" s="584"/>
      <c r="AP584" s="671"/>
      <c r="AQ584" s="584"/>
      <c r="AR584" s="583"/>
      <c r="AS584" s="583"/>
      <c r="AT584" s="585"/>
      <c r="AU584" s="585"/>
      <c r="AV584" s="585"/>
      <c r="AW584" s="585"/>
      <c r="AX584" s="673"/>
      <c r="AY584" s="380"/>
      <c r="AZ584" s="380"/>
      <c r="BA584" s="380"/>
      <c r="BB584" s="380"/>
      <c r="BC584" s="380"/>
      <c r="BD584" s="380"/>
      <c r="BE584" s="380"/>
      <c r="BF584" s="380"/>
      <c r="BG584" s="380"/>
      <c r="BH584" s="380"/>
      <c r="BI584" s="511"/>
      <c r="BJ584" s="380"/>
      <c r="BK584" s="380"/>
      <c r="BL584" s="380"/>
      <c r="BM584" s="380"/>
      <c r="BN584" s="380"/>
      <c r="BO584" s="380"/>
      <c r="BP584" s="380"/>
      <c r="BQ584" s="380"/>
      <c r="BR584" s="380"/>
    </row>
    <row r="585" spans="1:70" ht="12.75" customHeight="1" x14ac:dyDescent="0.25">
      <c r="A585" s="380"/>
      <c r="B585" s="380"/>
      <c r="C585" s="380"/>
      <c r="D585" s="380"/>
      <c r="E585" s="511"/>
      <c r="F585" s="511"/>
      <c r="G585" s="582"/>
      <c r="H585" s="511"/>
      <c r="I585" s="511"/>
      <c r="J585" s="582"/>
      <c r="K585" s="511"/>
      <c r="L585" s="511"/>
      <c r="M585" s="582"/>
      <c r="N585" s="582"/>
      <c r="O585" s="582"/>
      <c r="P585" s="582"/>
      <c r="Q585" s="511"/>
      <c r="R585" s="511"/>
      <c r="S585" s="511"/>
      <c r="T585" s="639"/>
      <c r="U585" s="511"/>
      <c r="V585" s="511"/>
      <c r="W585" s="511"/>
      <c r="X585" s="511"/>
      <c r="Y585" s="380"/>
      <c r="Z585" s="380"/>
      <c r="AA585" s="380"/>
      <c r="AB585" s="380"/>
      <c r="AC585" s="380"/>
      <c r="AD585" s="671"/>
      <c r="AE585" s="380"/>
      <c r="AF585" s="380"/>
      <c r="AG585" s="380"/>
      <c r="AH585" s="671"/>
      <c r="AI585" s="380"/>
      <c r="AJ585" s="583"/>
      <c r="AK585" s="583"/>
      <c r="AL585" s="511"/>
      <c r="AM585" s="584"/>
      <c r="AN585" s="584"/>
      <c r="AO585" s="584"/>
      <c r="AP585" s="671"/>
      <c r="AQ585" s="584"/>
      <c r="AR585" s="583"/>
      <c r="AS585" s="583"/>
      <c r="AT585" s="585"/>
      <c r="AU585" s="585"/>
      <c r="AV585" s="585"/>
      <c r="AW585" s="585"/>
      <c r="AX585" s="673"/>
      <c r="AY585" s="380"/>
      <c r="AZ585" s="380"/>
      <c r="BA585" s="380"/>
      <c r="BB585" s="380"/>
      <c r="BC585" s="380"/>
      <c r="BD585" s="380"/>
      <c r="BE585" s="380"/>
      <c r="BF585" s="380"/>
      <c r="BG585" s="380"/>
      <c r="BH585" s="380"/>
      <c r="BI585" s="511"/>
      <c r="BJ585" s="380"/>
      <c r="BK585" s="380"/>
      <c r="BL585" s="380"/>
      <c r="BM585" s="380"/>
      <c r="BN585" s="380"/>
      <c r="BO585" s="380"/>
      <c r="BP585" s="380"/>
      <c r="BQ585" s="380"/>
      <c r="BR585" s="380"/>
    </row>
    <row r="586" spans="1:70" ht="12.75" customHeight="1" x14ac:dyDescent="0.25">
      <c r="A586" s="380"/>
      <c r="B586" s="380"/>
      <c r="C586" s="380"/>
      <c r="D586" s="380"/>
      <c r="E586" s="511"/>
      <c r="F586" s="511"/>
      <c r="G586" s="582"/>
      <c r="H586" s="511"/>
      <c r="I586" s="511"/>
      <c r="J586" s="582"/>
      <c r="K586" s="511"/>
      <c r="L586" s="511"/>
      <c r="M586" s="582"/>
      <c r="N586" s="582"/>
      <c r="O586" s="582"/>
      <c r="P586" s="582"/>
      <c r="Q586" s="511"/>
      <c r="R586" s="511"/>
      <c r="S586" s="511"/>
      <c r="T586" s="639"/>
      <c r="U586" s="511"/>
      <c r="V586" s="511"/>
      <c r="W586" s="511"/>
      <c r="X586" s="511"/>
      <c r="Y586" s="380"/>
      <c r="Z586" s="380"/>
      <c r="AA586" s="380"/>
      <c r="AB586" s="380"/>
      <c r="AC586" s="380"/>
      <c r="AD586" s="671"/>
      <c r="AE586" s="380"/>
      <c r="AF586" s="380"/>
      <c r="AG586" s="380"/>
      <c r="AH586" s="671"/>
      <c r="AI586" s="380"/>
      <c r="AJ586" s="583"/>
      <c r="AK586" s="583"/>
      <c r="AL586" s="511"/>
      <c r="AM586" s="584"/>
      <c r="AN586" s="584"/>
      <c r="AO586" s="584"/>
      <c r="AP586" s="671"/>
      <c r="AQ586" s="584"/>
      <c r="AR586" s="583"/>
      <c r="AS586" s="583"/>
      <c r="AT586" s="585"/>
      <c r="AU586" s="585"/>
      <c r="AV586" s="585"/>
      <c r="AW586" s="585"/>
      <c r="AX586" s="673"/>
      <c r="AY586" s="380"/>
      <c r="AZ586" s="380"/>
      <c r="BA586" s="380"/>
      <c r="BB586" s="380"/>
      <c r="BC586" s="380"/>
      <c r="BD586" s="380"/>
      <c r="BE586" s="380"/>
      <c r="BF586" s="380"/>
      <c r="BG586" s="380"/>
      <c r="BH586" s="380"/>
      <c r="BI586" s="511"/>
      <c r="BJ586" s="380"/>
      <c r="BK586" s="380"/>
      <c r="BL586" s="380"/>
      <c r="BM586" s="380"/>
      <c r="BN586" s="380"/>
      <c r="BO586" s="380"/>
      <c r="BP586" s="380"/>
      <c r="BQ586" s="380"/>
      <c r="BR586" s="380"/>
    </row>
    <row r="587" spans="1:70" ht="12.75" customHeight="1" x14ac:dyDescent="0.25">
      <c r="A587" s="380"/>
      <c r="B587" s="380"/>
      <c r="C587" s="380"/>
      <c r="D587" s="380"/>
      <c r="E587" s="511"/>
      <c r="F587" s="511"/>
      <c r="G587" s="582"/>
      <c r="H587" s="511"/>
      <c r="I587" s="511"/>
      <c r="J587" s="582"/>
      <c r="K587" s="511"/>
      <c r="L587" s="511"/>
      <c r="M587" s="582"/>
      <c r="N587" s="582"/>
      <c r="O587" s="582"/>
      <c r="P587" s="582"/>
      <c r="Q587" s="511"/>
      <c r="R587" s="511"/>
      <c r="S587" s="511"/>
      <c r="T587" s="639"/>
      <c r="U587" s="511"/>
      <c r="V587" s="511"/>
      <c r="W587" s="511"/>
      <c r="X587" s="511"/>
      <c r="Y587" s="380"/>
      <c r="Z587" s="380"/>
      <c r="AA587" s="380"/>
      <c r="AB587" s="380"/>
      <c r="AC587" s="380"/>
      <c r="AD587" s="671"/>
      <c r="AE587" s="380"/>
      <c r="AF587" s="380"/>
      <c r="AG587" s="380"/>
      <c r="AH587" s="671"/>
      <c r="AI587" s="380"/>
      <c r="AJ587" s="583"/>
      <c r="AK587" s="583"/>
      <c r="AL587" s="511"/>
      <c r="AM587" s="584"/>
      <c r="AN587" s="584"/>
      <c r="AO587" s="584"/>
      <c r="AP587" s="671"/>
      <c r="AQ587" s="584"/>
      <c r="AR587" s="583"/>
      <c r="AS587" s="583"/>
      <c r="AT587" s="585"/>
      <c r="AU587" s="585"/>
      <c r="AV587" s="585"/>
      <c r="AW587" s="585"/>
      <c r="AX587" s="673"/>
      <c r="AY587" s="380"/>
      <c r="AZ587" s="380"/>
      <c r="BA587" s="380"/>
      <c r="BB587" s="380"/>
      <c r="BC587" s="380"/>
      <c r="BD587" s="380"/>
      <c r="BE587" s="380"/>
      <c r="BF587" s="380"/>
      <c r="BG587" s="380"/>
      <c r="BH587" s="380"/>
      <c r="BI587" s="511"/>
      <c r="BJ587" s="380"/>
      <c r="BK587" s="380"/>
      <c r="BL587" s="380"/>
      <c r="BM587" s="380"/>
      <c r="BN587" s="380"/>
      <c r="BO587" s="380"/>
      <c r="BP587" s="380"/>
      <c r="BQ587" s="380"/>
      <c r="BR587" s="380"/>
    </row>
    <row r="588" spans="1:70" ht="12.75" customHeight="1" x14ac:dyDescent="0.25">
      <c r="A588" s="380"/>
      <c r="B588" s="380"/>
      <c r="C588" s="380"/>
      <c r="D588" s="380"/>
      <c r="E588" s="511"/>
      <c r="F588" s="511"/>
      <c r="G588" s="582"/>
      <c r="H588" s="511"/>
      <c r="I588" s="511"/>
      <c r="J588" s="582"/>
      <c r="K588" s="511"/>
      <c r="L588" s="511"/>
      <c r="M588" s="582"/>
      <c r="N588" s="582"/>
      <c r="O588" s="582"/>
      <c r="P588" s="582"/>
      <c r="Q588" s="511"/>
      <c r="R588" s="511"/>
      <c r="S588" s="511"/>
      <c r="T588" s="639"/>
      <c r="U588" s="511"/>
      <c r="V588" s="511"/>
      <c r="W588" s="511"/>
      <c r="X588" s="511"/>
      <c r="Y588" s="380"/>
      <c r="Z588" s="380"/>
      <c r="AA588" s="380"/>
      <c r="AB588" s="380"/>
      <c r="AC588" s="380"/>
      <c r="AD588" s="671"/>
      <c r="AE588" s="380"/>
      <c r="AF588" s="380"/>
      <c r="AG588" s="380"/>
      <c r="AH588" s="671"/>
      <c r="AI588" s="380"/>
      <c r="AJ588" s="583"/>
      <c r="AK588" s="583"/>
      <c r="AL588" s="511"/>
      <c r="AM588" s="584"/>
      <c r="AN588" s="584"/>
      <c r="AO588" s="584"/>
      <c r="AP588" s="671"/>
      <c r="AQ588" s="584"/>
      <c r="AR588" s="583"/>
      <c r="AS588" s="583"/>
      <c r="AT588" s="585"/>
      <c r="AU588" s="585"/>
      <c r="AV588" s="585"/>
      <c r="AW588" s="585"/>
      <c r="AX588" s="673"/>
      <c r="AY588" s="380"/>
      <c r="AZ588" s="380"/>
      <c r="BA588" s="380"/>
      <c r="BB588" s="380"/>
      <c r="BC588" s="380"/>
      <c r="BD588" s="380"/>
      <c r="BE588" s="380"/>
      <c r="BF588" s="380"/>
      <c r="BG588" s="380"/>
      <c r="BH588" s="380"/>
      <c r="BI588" s="511"/>
      <c r="BJ588" s="380"/>
      <c r="BK588" s="380"/>
      <c r="BL588" s="380"/>
      <c r="BM588" s="380"/>
      <c r="BN588" s="380"/>
      <c r="BO588" s="380"/>
      <c r="BP588" s="380"/>
      <c r="BQ588" s="380"/>
      <c r="BR588" s="380"/>
    </row>
    <row r="589" spans="1:70" ht="12.75" customHeight="1" x14ac:dyDescent="0.25">
      <c r="A589" s="380"/>
      <c r="B589" s="380"/>
      <c r="C589" s="380"/>
      <c r="D589" s="380"/>
      <c r="E589" s="511"/>
      <c r="F589" s="511"/>
      <c r="G589" s="582"/>
      <c r="H589" s="511"/>
      <c r="I589" s="511"/>
      <c r="J589" s="582"/>
      <c r="K589" s="511"/>
      <c r="L589" s="511"/>
      <c r="M589" s="582"/>
      <c r="N589" s="582"/>
      <c r="O589" s="582"/>
      <c r="P589" s="582"/>
      <c r="Q589" s="511"/>
      <c r="R589" s="511"/>
      <c r="S589" s="511"/>
      <c r="T589" s="639"/>
      <c r="U589" s="511"/>
      <c r="V589" s="511"/>
      <c r="W589" s="511"/>
      <c r="X589" s="511"/>
      <c r="Y589" s="380"/>
      <c r="Z589" s="380"/>
      <c r="AA589" s="380"/>
      <c r="AB589" s="380"/>
      <c r="AC589" s="380"/>
      <c r="AD589" s="671"/>
      <c r="AE589" s="380"/>
      <c r="AF589" s="380"/>
      <c r="AG589" s="380"/>
      <c r="AH589" s="671"/>
      <c r="AI589" s="380"/>
      <c r="AJ589" s="583"/>
      <c r="AK589" s="583"/>
      <c r="AL589" s="511"/>
      <c r="AM589" s="584"/>
      <c r="AN589" s="584"/>
      <c r="AO589" s="584"/>
      <c r="AP589" s="671"/>
      <c r="AQ589" s="584"/>
      <c r="AR589" s="583"/>
      <c r="AS589" s="583"/>
      <c r="AT589" s="585"/>
      <c r="AU589" s="585"/>
      <c r="AV589" s="585"/>
      <c r="AW589" s="585"/>
      <c r="AX589" s="673"/>
      <c r="AY589" s="380"/>
      <c r="AZ589" s="380"/>
      <c r="BA589" s="380"/>
      <c r="BB589" s="380"/>
      <c r="BC589" s="380"/>
      <c r="BD589" s="380"/>
      <c r="BE589" s="380"/>
      <c r="BF589" s="380"/>
      <c r="BG589" s="380"/>
      <c r="BH589" s="380"/>
      <c r="BI589" s="511"/>
      <c r="BJ589" s="380"/>
      <c r="BK589" s="380"/>
      <c r="BL589" s="380"/>
      <c r="BM589" s="380"/>
      <c r="BN589" s="380"/>
      <c r="BO589" s="380"/>
      <c r="BP589" s="380"/>
      <c r="BQ589" s="380"/>
      <c r="BR589" s="380"/>
    </row>
    <row r="590" spans="1:70" ht="12.75" customHeight="1" x14ac:dyDescent="0.25">
      <c r="A590" s="380"/>
      <c r="B590" s="380"/>
      <c r="C590" s="380"/>
      <c r="D590" s="380"/>
      <c r="E590" s="511"/>
      <c r="F590" s="511"/>
      <c r="G590" s="582"/>
      <c r="H590" s="511"/>
      <c r="I590" s="511"/>
      <c r="J590" s="582"/>
      <c r="K590" s="511"/>
      <c r="L590" s="511"/>
      <c r="M590" s="582"/>
      <c r="N590" s="582"/>
      <c r="O590" s="582"/>
      <c r="P590" s="582"/>
      <c r="Q590" s="511"/>
      <c r="R590" s="511"/>
      <c r="S590" s="511"/>
      <c r="T590" s="639"/>
      <c r="U590" s="511"/>
      <c r="V590" s="511"/>
      <c r="W590" s="511"/>
      <c r="X590" s="511"/>
      <c r="Y590" s="380"/>
      <c r="Z590" s="380"/>
      <c r="AA590" s="380"/>
      <c r="AB590" s="380"/>
      <c r="AC590" s="380"/>
      <c r="AD590" s="671"/>
      <c r="AE590" s="380"/>
      <c r="AF590" s="380"/>
      <c r="AG590" s="380"/>
      <c r="AH590" s="671"/>
      <c r="AI590" s="380"/>
      <c r="AJ590" s="583"/>
      <c r="AK590" s="583"/>
      <c r="AL590" s="511"/>
      <c r="AM590" s="584"/>
      <c r="AN590" s="584"/>
      <c r="AO590" s="584"/>
      <c r="AP590" s="671"/>
      <c r="AQ590" s="584"/>
      <c r="AR590" s="583"/>
      <c r="AS590" s="583"/>
      <c r="AT590" s="585"/>
      <c r="AU590" s="585"/>
      <c r="AV590" s="585"/>
      <c r="AW590" s="585"/>
      <c r="AX590" s="673"/>
      <c r="AY590" s="380"/>
      <c r="AZ590" s="380"/>
      <c r="BA590" s="380"/>
      <c r="BB590" s="380"/>
      <c r="BC590" s="380"/>
      <c r="BD590" s="380"/>
      <c r="BE590" s="380"/>
      <c r="BF590" s="380"/>
      <c r="BG590" s="380"/>
      <c r="BH590" s="380"/>
      <c r="BI590" s="511"/>
      <c r="BJ590" s="380"/>
      <c r="BK590" s="380"/>
      <c r="BL590" s="380"/>
      <c r="BM590" s="380"/>
      <c r="BN590" s="380"/>
      <c r="BO590" s="380"/>
      <c r="BP590" s="380"/>
      <c r="BQ590" s="380"/>
      <c r="BR590" s="380"/>
    </row>
    <row r="591" spans="1:70" ht="12.75" customHeight="1" x14ac:dyDescent="0.25">
      <c r="A591" s="380"/>
      <c r="B591" s="380"/>
      <c r="C591" s="380"/>
      <c r="D591" s="380"/>
      <c r="E591" s="511"/>
      <c r="F591" s="511"/>
      <c r="G591" s="582"/>
      <c r="H591" s="511"/>
      <c r="I591" s="511"/>
      <c r="J591" s="582"/>
      <c r="K591" s="511"/>
      <c r="L591" s="511"/>
      <c r="M591" s="582"/>
      <c r="N591" s="582"/>
      <c r="O591" s="582"/>
      <c r="P591" s="582"/>
      <c r="Q591" s="511"/>
      <c r="R591" s="511"/>
      <c r="S591" s="511"/>
      <c r="T591" s="639"/>
      <c r="U591" s="511"/>
      <c r="V591" s="511"/>
      <c r="W591" s="511"/>
      <c r="X591" s="511"/>
      <c r="Y591" s="380"/>
      <c r="Z591" s="380"/>
      <c r="AA591" s="380"/>
      <c r="AB591" s="380"/>
      <c r="AC591" s="380"/>
      <c r="AD591" s="671"/>
      <c r="AE591" s="380"/>
      <c r="AF591" s="380"/>
      <c r="AG591" s="380"/>
      <c r="AH591" s="671"/>
      <c r="AI591" s="380"/>
      <c r="AJ591" s="583"/>
      <c r="AK591" s="583"/>
      <c r="AL591" s="511"/>
      <c r="AM591" s="584"/>
      <c r="AN591" s="584"/>
      <c r="AO591" s="584"/>
      <c r="AP591" s="671"/>
      <c r="AQ591" s="584"/>
      <c r="AR591" s="583"/>
      <c r="AS591" s="583"/>
      <c r="AT591" s="585"/>
      <c r="AU591" s="585"/>
      <c r="AV591" s="585"/>
      <c r="AW591" s="585"/>
      <c r="AX591" s="673"/>
      <c r="AY591" s="380"/>
      <c r="AZ591" s="380"/>
      <c r="BA591" s="380"/>
      <c r="BB591" s="380"/>
      <c r="BC591" s="380"/>
      <c r="BD591" s="380"/>
      <c r="BE591" s="380"/>
      <c r="BF591" s="380"/>
      <c r="BG591" s="380"/>
      <c r="BH591" s="380"/>
      <c r="BI591" s="511"/>
      <c r="BJ591" s="380"/>
      <c r="BK591" s="380"/>
      <c r="BL591" s="380"/>
      <c r="BM591" s="380"/>
      <c r="BN591" s="380"/>
      <c r="BO591" s="380"/>
      <c r="BP591" s="380"/>
      <c r="BQ591" s="380"/>
      <c r="BR591" s="380"/>
    </row>
    <row r="592" spans="1:70" ht="12.75" customHeight="1" x14ac:dyDescent="0.25">
      <c r="A592" s="380"/>
      <c r="B592" s="380"/>
      <c r="C592" s="380"/>
      <c r="D592" s="380"/>
      <c r="E592" s="511"/>
      <c r="F592" s="511"/>
      <c r="G592" s="582"/>
      <c r="H592" s="511"/>
      <c r="I592" s="511"/>
      <c r="J592" s="582"/>
      <c r="K592" s="511"/>
      <c r="L592" s="511"/>
      <c r="M592" s="582"/>
      <c r="N592" s="582"/>
      <c r="O592" s="582"/>
      <c r="P592" s="582"/>
      <c r="Q592" s="511"/>
      <c r="R592" s="511"/>
      <c r="S592" s="511"/>
      <c r="T592" s="639"/>
      <c r="U592" s="511"/>
      <c r="V592" s="511"/>
      <c r="W592" s="511"/>
      <c r="X592" s="511"/>
      <c r="Y592" s="380"/>
      <c r="Z592" s="380"/>
      <c r="AA592" s="380"/>
      <c r="AB592" s="380"/>
      <c r="AC592" s="380"/>
      <c r="AD592" s="671"/>
      <c r="AE592" s="380"/>
      <c r="AF592" s="380"/>
      <c r="AG592" s="380"/>
      <c r="AH592" s="671"/>
      <c r="AI592" s="380"/>
      <c r="AJ592" s="583"/>
      <c r="AK592" s="583"/>
      <c r="AL592" s="511"/>
      <c r="AM592" s="584"/>
      <c r="AN592" s="584"/>
      <c r="AO592" s="584"/>
      <c r="AP592" s="671"/>
      <c r="AQ592" s="584"/>
      <c r="AR592" s="583"/>
      <c r="AS592" s="583"/>
      <c r="AT592" s="585"/>
      <c r="AU592" s="585"/>
      <c r="AV592" s="585"/>
      <c r="AW592" s="585"/>
      <c r="AX592" s="673"/>
      <c r="AY592" s="380"/>
      <c r="AZ592" s="380"/>
      <c r="BA592" s="380"/>
      <c r="BB592" s="380"/>
      <c r="BC592" s="380"/>
      <c r="BD592" s="380"/>
      <c r="BE592" s="380"/>
      <c r="BF592" s="380"/>
      <c r="BG592" s="380"/>
      <c r="BH592" s="380"/>
      <c r="BI592" s="511"/>
      <c r="BJ592" s="380"/>
      <c r="BK592" s="380"/>
      <c r="BL592" s="380"/>
      <c r="BM592" s="380"/>
      <c r="BN592" s="380"/>
      <c r="BO592" s="380"/>
      <c r="BP592" s="380"/>
      <c r="BQ592" s="380"/>
      <c r="BR592" s="380"/>
    </row>
    <row r="593" spans="1:70" ht="12.75" customHeight="1" x14ac:dyDescent="0.25">
      <c r="A593" s="380"/>
      <c r="B593" s="380"/>
      <c r="C593" s="380"/>
      <c r="D593" s="380"/>
      <c r="E593" s="511"/>
      <c r="F593" s="511"/>
      <c r="G593" s="582"/>
      <c r="H593" s="511"/>
      <c r="I593" s="511"/>
      <c r="J593" s="582"/>
      <c r="K593" s="511"/>
      <c r="L593" s="511"/>
      <c r="M593" s="582"/>
      <c r="N593" s="582"/>
      <c r="O593" s="582"/>
      <c r="P593" s="582"/>
      <c r="Q593" s="511"/>
      <c r="R593" s="511"/>
      <c r="S593" s="511"/>
      <c r="T593" s="639"/>
      <c r="U593" s="511"/>
      <c r="V593" s="511"/>
      <c r="W593" s="511"/>
      <c r="X593" s="511"/>
      <c r="Y593" s="380"/>
      <c r="Z593" s="380"/>
      <c r="AA593" s="380"/>
      <c r="AB593" s="380"/>
      <c r="AC593" s="380"/>
      <c r="AD593" s="671"/>
      <c r="AE593" s="380"/>
      <c r="AF593" s="380"/>
      <c r="AG593" s="380"/>
      <c r="AH593" s="671"/>
      <c r="AI593" s="380"/>
      <c r="AJ593" s="583"/>
      <c r="AK593" s="583"/>
      <c r="AL593" s="511"/>
      <c r="AM593" s="584"/>
      <c r="AN593" s="584"/>
      <c r="AO593" s="584"/>
      <c r="AP593" s="671"/>
      <c r="AQ593" s="584"/>
      <c r="AR593" s="583"/>
      <c r="AS593" s="583"/>
      <c r="AT593" s="585"/>
      <c r="AU593" s="585"/>
      <c r="AV593" s="585"/>
      <c r="AW593" s="585"/>
      <c r="AX593" s="673"/>
      <c r="AY593" s="380"/>
      <c r="AZ593" s="380"/>
      <c r="BA593" s="380"/>
      <c r="BB593" s="380"/>
      <c r="BC593" s="380"/>
      <c r="BD593" s="380"/>
      <c r="BE593" s="380"/>
      <c r="BF593" s="380"/>
      <c r="BG593" s="380"/>
      <c r="BH593" s="380"/>
      <c r="BI593" s="511"/>
      <c r="BJ593" s="380"/>
      <c r="BK593" s="380"/>
      <c r="BL593" s="380"/>
      <c r="BM593" s="380"/>
      <c r="BN593" s="380"/>
      <c r="BO593" s="380"/>
      <c r="BP593" s="380"/>
      <c r="BQ593" s="380"/>
      <c r="BR593" s="380"/>
    </row>
    <row r="594" spans="1:70" ht="12.75" customHeight="1" x14ac:dyDescent="0.25">
      <c r="A594" s="380"/>
      <c r="B594" s="380"/>
      <c r="C594" s="380"/>
      <c r="D594" s="380"/>
      <c r="E594" s="511"/>
      <c r="F594" s="511"/>
      <c r="G594" s="582"/>
      <c r="H594" s="511"/>
      <c r="I594" s="511"/>
      <c r="J594" s="582"/>
      <c r="K594" s="511"/>
      <c r="L594" s="511"/>
      <c r="M594" s="582"/>
      <c r="N594" s="582"/>
      <c r="O594" s="582"/>
      <c r="P594" s="582"/>
      <c r="Q594" s="511"/>
      <c r="R594" s="511"/>
      <c r="S594" s="511"/>
      <c r="T594" s="639"/>
      <c r="U594" s="511"/>
      <c r="V594" s="511"/>
      <c r="W594" s="511"/>
      <c r="X594" s="511"/>
      <c r="Y594" s="380"/>
      <c r="Z594" s="380"/>
      <c r="AA594" s="380"/>
      <c r="AB594" s="380"/>
      <c r="AC594" s="380"/>
      <c r="AD594" s="671"/>
      <c r="AE594" s="380"/>
      <c r="AF594" s="380"/>
      <c r="AG594" s="380"/>
      <c r="AH594" s="671"/>
      <c r="AI594" s="380"/>
      <c r="AJ594" s="583"/>
      <c r="AK594" s="583"/>
      <c r="AL594" s="511"/>
      <c r="AM594" s="584"/>
      <c r="AN594" s="584"/>
      <c r="AO594" s="584"/>
      <c r="AP594" s="671"/>
      <c r="AQ594" s="584"/>
      <c r="AR594" s="583"/>
      <c r="AS594" s="583"/>
      <c r="AT594" s="585"/>
      <c r="AU594" s="585"/>
      <c r="AV594" s="585"/>
      <c r="AW594" s="585"/>
      <c r="AX594" s="673"/>
      <c r="AY594" s="380"/>
      <c r="AZ594" s="380"/>
      <c r="BA594" s="380"/>
      <c r="BB594" s="380"/>
      <c r="BC594" s="380"/>
      <c r="BD594" s="380"/>
      <c r="BE594" s="380"/>
      <c r="BF594" s="380"/>
      <c r="BG594" s="380"/>
      <c r="BH594" s="380"/>
      <c r="BI594" s="511"/>
      <c r="BJ594" s="380"/>
      <c r="BK594" s="380"/>
      <c r="BL594" s="380"/>
      <c r="BM594" s="380"/>
      <c r="BN594" s="380"/>
      <c r="BO594" s="380"/>
      <c r="BP594" s="380"/>
      <c r="BQ594" s="380"/>
      <c r="BR594" s="380"/>
    </row>
    <row r="595" spans="1:70" ht="12.75" customHeight="1" x14ac:dyDescent="0.25">
      <c r="A595" s="380"/>
      <c r="B595" s="380"/>
      <c r="C595" s="380"/>
      <c r="D595" s="380"/>
      <c r="E595" s="511"/>
      <c r="F595" s="511"/>
      <c r="G595" s="582"/>
      <c r="H595" s="511"/>
      <c r="I595" s="511"/>
      <c r="J595" s="582"/>
      <c r="K595" s="511"/>
      <c r="L595" s="511"/>
      <c r="M595" s="582"/>
      <c r="N595" s="582"/>
      <c r="O595" s="582"/>
      <c r="P595" s="582"/>
      <c r="Q595" s="511"/>
      <c r="R595" s="511"/>
      <c r="S595" s="511"/>
      <c r="T595" s="639"/>
      <c r="U595" s="511"/>
      <c r="V595" s="511"/>
      <c r="W595" s="511"/>
      <c r="X595" s="511"/>
      <c r="Y595" s="380"/>
      <c r="Z595" s="380"/>
      <c r="AA595" s="380"/>
      <c r="AB595" s="380"/>
      <c r="AC595" s="380"/>
      <c r="AD595" s="671"/>
      <c r="AE595" s="380"/>
      <c r="AF595" s="380"/>
      <c r="AG595" s="380"/>
      <c r="AH595" s="671"/>
      <c r="AI595" s="380"/>
      <c r="AJ595" s="583"/>
      <c r="AK595" s="583"/>
      <c r="AL595" s="511"/>
      <c r="AM595" s="584"/>
      <c r="AN595" s="584"/>
      <c r="AO595" s="584"/>
      <c r="AP595" s="671"/>
      <c r="AQ595" s="584"/>
      <c r="AR595" s="583"/>
      <c r="AS595" s="583"/>
      <c r="AT595" s="585"/>
      <c r="AU595" s="585"/>
      <c r="AV595" s="585"/>
      <c r="AW595" s="585"/>
      <c r="AX595" s="673"/>
      <c r="AY595" s="380"/>
      <c r="AZ595" s="380"/>
      <c r="BA595" s="380"/>
      <c r="BB595" s="380"/>
      <c r="BC595" s="380"/>
      <c r="BD595" s="380"/>
      <c r="BE595" s="380"/>
      <c r="BF595" s="380"/>
      <c r="BG595" s="380"/>
      <c r="BH595" s="380"/>
      <c r="BI595" s="511"/>
      <c r="BJ595" s="380"/>
      <c r="BK595" s="380"/>
      <c r="BL595" s="380"/>
      <c r="BM595" s="380"/>
      <c r="BN595" s="380"/>
      <c r="BO595" s="380"/>
      <c r="BP595" s="380"/>
      <c r="BQ595" s="380"/>
      <c r="BR595" s="380"/>
    </row>
    <row r="596" spans="1:70" ht="12.75" customHeight="1" x14ac:dyDescent="0.25">
      <c r="A596" s="380"/>
      <c r="B596" s="380"/>
      <c r="C596" s="380"/>
      <c r="D596" s="380"/>
      <c r="E596" s="511"/>
      <c r="F596" s="511"/>
      <c r="G596" s="582"/>
      <c r="H596" s="511"/>
      <c r="I596" s="511"/>
      <c r="J596" s="582"/>
      <c r="K596" s="511"/>
      <c r="L596" s="511"/>
      <c r="M596" s="582"/>
      <c r="N596" s="582"/>
      <c r="O596" s="582"/>
      <c r="P596" s="582"/>
      <c r="Q596" s="511"/>
      <c r="R596" s="511"/>
      <c r="S596" s="511"/>
      <c r="T596" s="639"/>
      <c r="U596" s="511"/>
      <c r="V596" s="511"/>
      <c r="W596" s="511"/>
      <c r="X596" s="511"/>
      <c r="Y596" s="380"/>
      <c r="Z596" s="380"/>
      <c r="AA596" s="380"/>
      <c r="AB596" s="380"/>
      <c r="AC596" s="380"/>
      <c r="AD596" s="671"/>
      <c r="AE596" s="380"/>
      <c r="AF596" s="380"/>
      <c r="AG596" s="380"/>
      <c r="AH596" s="671"/>
      <c r="AI596" s="380"/>
      <c r="AJ596" s="583"/>
      <c r="AK596" s="583"/>
      <c r="AL596" s="511"/>
      <c r="AM596" s="584"/>
      <c r="AN596" s="584"/>
      <c r="AO596" s="584"/>
      <c r="AP596" s="671"/>
      <c r="AQ596" s="584"/>
      <c r="AR596" s="583"/>
      <c r="AS596" s="583"/>
      <c r="AT596" s="585"/>
      <c r="AU596" s="585"/>
      <c r="AV596" s="585"/>
      <c r="AW596" s="585"/>
      <c r="AX596" s="673"/>
      <c r="AY596" s="380"/>
      <c r="AZ596" s="380"/>
      <c r="BA596" s="380"/>
      <c r="BB596" s="380"/>
      <c r="BC596" s="380"/>
      <c r="BD596" s="380"/>
      <c r="BE596" s="380"/>
      <c r="BF596" s="380"/>
      <c r="BG596" s="380"/>
      <c r="BH596" s="380"/>
      <c r="BI596" s="511"/>
      <c r="BJ596" s="380"/>
      <c r="BK596" s="380"/>
      <c r="BL596" s="380"/>
      <c r="BM596" s="380"/>
      <c r="BN596" s="380"/>
      <c r="BO596" s="380"/>
      <c r="BP596" s="380"/>
      <c r="BQ596" s="380"/>
      <c r="BR596" s="380"/>
    </row>
    <row r="597" spans="1:70" ht="12.75" customHeight="1" x14ac:dyDescent="0.25">
      <c r="A597" s="380"/>
      <c r="B597" s="380"/>
      <c r="C597" s="380"/>
      <c r="D597" s="380"/>
      <c r="E597" s="511"/>
      <c r="F597" s="511"/>
      <c r="G597" s="582"/>
      <c r="H597" s="511"/>
      <c r="I597" s="511"/>
      <c r="J597" s="582"/>
      <c r="K597" s="511"/>
      <c r="L597" s="511"/>
      <c r="M597" s="582"/>
      <c r="N597" s="582"/>
      <c r="O597" s="582"/>
      <c r="P597" s="582"/>
      <c r="Q597" s="511"/>
      <c r="R597" s="511"/>
      <c r="S597" s="511"/>
      <c r="T597" s="639"/>
      <c r="U597" s="511"/>
      <c r="V597" s="511"/>
      <c r="W597" s="511"/>
      <c r="X597" s="511"/>
      <c r="Y597" s="380"/>
      <c r="Z597" s="380"/>
      <c r="AA597" s="380"/>
      <c r="AB597" s="380"/>
      <c r="AC597" s="380"/>
      <c r="AD597" s="671"/>
      <c r="AE597" s="380"/>
      <c r="AF597" s="380"/>
      <c r="AG597" s="380"/>
      <c r="AH597" s="671"/>
      <c r="AI597" s="380"/>
      <c r="AJ597" s="583"/>
      <c r="AK597" s="583"/>
      <c r="AL597" s="511"/>
      <c r="AM597" s="584"/>
      <c r="AN597" s="584"/>
      <c r="AO597" s="584"/>
      <c r="AP597" s="671"/>
      <c r="AQ597" s="584"/>
      <c r="AR597" s="583"/>
      <c r="AS597" s="583"/>
      <c r="AT597" s="585"/>
      <c r="AU597" s="585"/>
      <c r="AV597" s="585"/>
      <c r="AW597" s="585"/>
      <c r="AX597" s="673"/>
      <c r="AY597" s="380"/>
      <c r="AZ597" s="380"/>
      <c r="BA597" s="380"/>
      <c r="BB597" s="380"/>
      <c r="BC597" s="380"/>
      <c r="BD597" s="380"/>
      <c r="BE597" s="380"/>
      <c r="BF597" s="380"/>
      <c r="BG597" s="380"/>
      <c r="BH597" s="380"/>
      <c r="BI597" s="511"/>
      <c r="BJ597" s="380"/>
      <c r="BK597" s="380"/>
      <c r="BL597" s="380"/>
      <c r="BM597" s="380"/>
      <c r="BN597" s="380"/>
      <c r="BO597" s="380"/>
      <c r="BP597" s="380"/>
      <c r="BQ597" s="380"/>
      <c r="BR597" s="380"/>
    </row>
    <row r="598" spans="1:70" ht="12.75" customHeight="1" x14ac:dyDescent="0.25">
      <c r="A598" s="380"/>
      <c r="B598" s="380"/>
      <c r="C598" s="380"/>
      <c r="D598" s="380"/>
      <c r="E598" s="511"/>
      <c r="F598" s="511"/>
      <c r="G598" s="582"/>
      <c r="H598" s="511"/>
      <c r="I598" s="511"/>
      <c r="J598" s="582"/>
      <c r="K598" s="511"/>
      <c r="L598" s="511"/>
      <c r="M598" s="582"/>
      <c r="N598" s="582"/>
      <c r="O598" s="582"/>
      <c r="P598" s="582"/>
      <c r="Q598" s="511"/>
      <c r="R598" s="511"/>
      <c r="S598" s="511"/>
      <c r="T598" s="639"/>
      <c r="U598" s="511"/>
      <c r="V598" s="511"/>
      <c r="W598" s="511"/>
      <c r="X598" s="511"/>
      <c r="Y598" s="380"/>
      <c r="Z598" s="380"/>
      <c r="AA598" s="380"/>
      <c r="AB598" s="380"/>
      <c r="AC598" s="380"/>
      <c r="AD598" s="671"/>
      <c r="AE598" s="380"/>
      <c r="AF598" s="380"/>
      <c r="AG598" s="380"/>
      <c r="AH598" s="671"/>
      <c r="AI598" s="380"/>
      <c r="AJ598" s="583"/>
      <c r="AK598" s="583"/>
      <c r="AL598" s="511"/>
      <c r="AM598" s="584"/>
      <c r="AN598" s="584"/>
      <c r="AO598" s="584"/>
      <c r="AP598" s="671"/>
      <c r="AQ598" s="584"/>
      <c r="AR598" s="583"/>
      <c r="AS598" s="583"/>
      <c r="AT598" s="585"/>
      <c r="AU598" s="585"/>
      <c r="AV598" s="585"/>
      <c r="AW598" s="585"/>
      <c r="AX598" s="673"/>
      <c r="AY598" s="380"/>
      <c r="AZ598" s="380"/>
      <c r="BA598" s="380"/>
      <c r="BB598" s="380"/>
      <c r="BC598" s="380"/>
      <c r="BD598" s="380"/>
      <c r="BE598" s="380"/>
      <c r="BF598" s="380"/>
      <c r="BG598" s="380"/>
      <c r="BH598" s="380"/>
      <c r="BI598" s="511"/>
      <c r="BJ598" s="380"/>
      <c r="BK598" s="380"/>
      <c r="BL598" s="380"/>
      <c r="BM598" s="380"/>
      <c r="BN598" s="380"/>
      <c r="BO598" s="380"/>
      <c r="BP598" s="380"/>
      <c r="BQ598" s="380"/>
      <c r="BR598" s="380"/>
    </row>
    <row r="599" spans="1:70" ht="12.75" customHeight="1" x14ac:dyDescent="0.25">
      <c r="A599" s="380"/>
      <c r="B599" s="380"/>
      <c r="C599" s="380"/>
      <c r="D599" s="380"/>
      <c r="E599" s="511"/>
      <c r="F599" s="511"/>
      <c r="G599" s="582"/>
      <c r="H599" s="511"/>
      <c r="I599" s="511"/>
      <c r="J599" s="582"/>
      <c r="K599" s="511"/>
      <c r="L599" s="511"/>
      <c r="M599" s="582"/>
      <c r="N599" s="582"/>
      <c r="O599" s="582"/>
      <c r="P599" s="582"/>
      <c r="Q599" s="511"/>
      <c r="R599" s="511"/>
      <c r="S599" s="511"/>
      <c r="T599" s="639"/>
      <c r="U599" s="511"/>
      <c r="V599" s="511"/>
      <c r="W599" s="511"/>
      <c r="X599" s="511"/>
      <c r="Y599" s="380"/>
      <c r="Z599" s="380"/>
      <c r="AA599" s="380"/>
      <c r="AB599" s="380"/>
      <c r="AC599" s="380"/>
      <c r="AD599" s="671"/>
      <c r="AE599" s="380"/>
      <c r="AF599" s="380"/>
      <c r="AG599" s="380"/>
      <c r="AH599" s="671"/>
      <c r="AI599" s="380"/>
      <c r="AJ599" s="583"/>
      <c r="AK599" s="583"/>
      <c r="AL599" s="511"/>
      <c r="AM599" s="584"/>
      <c r="AN599" s="584"/>
      <c r="AO599" s="584"/>
      <c r="AP599" s="671"/>
      <c r="AQ599" s="584"/>
      <c r="AR599" s="583"/>
      <c r="AS599" s="583"/>
      <c r="AT599" s="585"/>
      <c r="AU599" s="585"/>
      <c r="AV599" s="585"/>
      <c r="AW599" s="585"/>
      <c r="AX599" s="673"/>
      <c r="AY599" s="380"/>
      <c r="AZ599" s="380"/>
      <c r="BA599" s="380"/>
      <c r="BB599" s="380"/>
      <c r="BC599" s="380"/>
      <c r="BD599" s="380"/>
      <c r="BE599" s="380"/>
      <c r="BF599" s="380"/>
      <c r="BG599" s="380"/>
      <c r="BH599" s="380"/>
      <c r="BI599" s="511"/>
      <c r="BJ599" s="380"/>
      <c r="BK599" s="380"/>
      <c r="BL599" s="380"/>
      <c r="BM599" s="380"/>
      <c r="BN599" s="380"/>
      <c r="BO599" s="380"/>
      <c r="BP599" s="380"/>
      <c r="BQ599" s="380"/>
      <c r="BR599" s="380"/>
    </row>
    <row r="600" spans="1:70" ht="12.75" customHeight="1" x14ac:dyDescent="0.25">
      <c r="A600" s="380"/>
      <c r="B600" s="380"/>
      <c r="C600" s="380"/>
      <c r="D600" s="380"/>
      <c r="E600" s="511"/>
      <c r="F600" s="511"/>
      <c r="G600" s="582"/>
      <c r="H600" s="511"/>
      <c r="I600" s="511"/>
      <c r="J600" s="582"/>
      <c r="K600" s="511"/>
      <c r="L600" s="511"/>
      <c r="M600" s="582"/>
      <c r="N600" s="582"/>
      <c r="O600" s="582"/>
      <c r="P600" s="582"/>
      <c r="Q600" s="511"/>
      <c r="R600" s="511"/>
      <c r="S600" s="511"/>
      <c r="T600" s="639"/>
      <c r="U600" s="511"/>
      <c r="V600" s="511"/>
      <c r="W600" s="511"/>
      <c r="X600" s="511"/>
      <c r="Y600" s="380"/>
      <c r="Z600" s="380"/>
      <c r="AA600" s="380"/>
      <c r="AB600" s="380"/>
      <c r="AC600" s="380"/>
      <c r="AD600" s="671"/>
      <c r="AE600" s="380"/>
      <c r="AF600" s="380"/>
      <c r="AG600" s="380"/>
      <c r="AH600" s="671"/>
      <c r="AI600" s="380"/>
      <c r="AJ600" s="583"/>
      <c r="AK600" s="583"/>
      <c r="AL600" s="511"/>
      <c r="AM600" s="584"/>
      <c r="AN600" s="584"/>
      <c r="AO600" s="584"/>
      <c r="AP600" s="671"/>
      <c r="AQ600" s="584"/>
      <c r="AR600" s="583"/>
      <c r="AS600" s="583"/>
      <c r="AT600" s="585"/>
      <c r="AU600" s="585"/>
      <c r="AV600" s="585"/>
      <c r="AW600" s="585"/>
      <c r="AX600" s="673"/>
      <c r="AY600" s="380"/>
      <c r="AZ600" s="380"/>
      <c r="BA600" s="380"/>
      <c r="BB600" s="380"/>
      <c r="BC600" s="380"/>
      <c r="BD600" s="380"/>
      <c r="BE600" s="380"/>
      <c r="BF600" s="380"/>
      <c r="BG600" s="380"/>
      <c r="BH600" s="380"/>
      <c r="BI600" s="511"/>
      <c r="BJ600" s="380"/>
      <c r="BK600" s="380"/>
      <c r="BL600" s="380"/>
      <c r="BM600" s="380"/>
      <c r="BN600" s="380"/>
      <c r="BO600" s="380"/>
      <c r="BP600" s="380"/>
      <c r="BQ600" s="380"/>
      <c r="BR600" s="380"/>
    </row>
    <row r="601" spans="1:70" ht="12.75" customHeight="1" x14ac:dyDescent="0.25">
      <c r="A601" s="380"/>
      <c r="B601" s="380"/>
      <c r="C601" s="380"/>
      <c r="D601" s="380"/>
      <c r="E601" s="511"/>
      <c r="F601" s="511"/>
      <c r="G601" s="582"/>
      <c r="H601" s="511"/>
      <c r="I601" s="511"/>
      <c r="J601" s="582"/>
      <c r="K601" s="511"/>
      <c r="L601" s="511"/>
      <c r="M601" s="582"/>
      <c r="N601" s="582"/>
      <c r="O601" s="582"/>
      <c r="P601" s="582"/>
      <c r="Q601" s="511"/>
      <c r="R601" s="511"/>
      <c r="S601" s="511"/>
      <c r="T601" s="639"/>
      <c r="U601" s="511"/>
      <c r="V601" s="511"/>
      <c r="W601" s="511"/>
      <c r="X601" s="511"/>
      <c r="Y601" s="380"/>
      <c r="Z601" s="380"/>
      <c r="AA601" s="380"/>
      <c r="AB601" s="380"/>
      <c r="AC601" s="380"/>
      <c r="AD601" s="671"/>
      <c r="AE601" s="380"/>
      <c r="AF601" s="380"/>
      <c r="AG601" s="380"/>
      <c r="AH601" s="671"/>
      <c r="AI601" s="380"/>
      <c r="AJ601" s="583"/>
      <c r="AK601" s="583"/>
      <c r="AL601" s="511"/>
      <c r="AM601" s="584"/>
      <c r="AN601" s="584"/>
      <c r="AO601" s="584"/>
      <c r="AP601" s="671"/>
      <c r="AQ601" s="584"/>
      <c r="AR601" s="583"/>
      <c r="AS601" s="583"/>
      <c r="AT601" s="585"/>
      <c r="AU601" s="585"/>
      <c r="AV601" s="585"/>
      <c r="AW601" s="585"/>
      <c r="AX601" s="673"/>
      <c r="AY601" s="380"/>
      <c r="AZ601" s="380"/>
      <c r="BA601" s="380"/>
      <c r="BB601" s="380"/>
      <c r="BC601" s="380"/>
      <c r="BD601" s="380"/>
      <c r="BE601" s="380"/>
      <c r="BF601" s="380"/>
      <c r="BG601" s="380"/>
      <c r="BH601" s="380"/>
      <c r="BI601" s="511"/>
      <c r="BJ601" s="380"/>
      <c r="BK601" s="380"/>
      <c r="BL601" s="380"/>
      <c r="BM601" s="380"/>
      <c r="BN601" s="380"/>
      <c r="BO601" s="380"/>
      <c r="BP601" s="380"/>
      <c r="BQ601" s="380"/>
      <c r="BR601" s="380"/>
    </row>
    <row r="602" spans="1:70" ht="12.75" customHeight="1" x14ac:dyDescent="0.25">
      <c r="A602" s="380"/>
      <c r="B602" s="380"/>
      <c r="C602" s="380"/>
      <c r="D602" s="380"/>
      <c r="E602" s="511"/>
      <c r="F602" s="511"/>
      <c r="G602" s="582"/>
      <c r="H602" s="511"/>
      <c r="I602" s="511"/>
      <c r="J602" s="582"/>
      <c r="K602" s="511"/>
      <c r="L602" s="511"/>
      <c r="M602" s="582"/>
      <c r="N602" s="582"/>
      <c r="O602" s="582"/>
      <c r="P602" s="582"/>
      <c r="Q602" s="511"/>
      <c r="R602" s="511"/>
      <c r="S602" s="511"/>
      <c r="T602" s="639"/>
      <c r="U602" s="511"/>
      <c r="V602" s="511"/>
      <c r="W602" s="511"/>
      <c r="X602" s="511"/>
      <c r="Y602" s="380"/>
      <c r="Z602" s="380"/>
      <c r="AA602" s="380"/>
      <c r="AB602" s="380"/>
      <c r="AC602" s="380"/>
      <c r="AD602" s="671"/>
      <c r="AE602" s="380"/>
      <c r="AF602" s="380"/>
      <c r="AG602" s="380"/>
      <c r="AH602" s="671"/>
      <c r="AI602" s="380"/>
      <c r="AJ602" s="583"/>
      <c r="AK602" s="583"/>
      <c r="AL602" s="511"/>
      <c r="AM602" s="584"/>
      <c r="AN602" s="584"/>
      <c r="AO602" s="584"/>
      <c r="AP602" s="671"/>
      <c r="AQ602" s="584"/>
      <c r="AR602" s="583"/>
      <c r="AS602" s="583"/>
      <c r="AT602" s="585"/>
      <c r="AU602" s="585"/>
      <c r="AV602" s="585"/>
      <c r="AW602" s="585"/>
      <c r="AX602" s="673"/>
      <c r="AY602" s="380"/>
      <c r="AZ602" s="380"/>
      <c r="BA602" s="380"/>
      <c r="BB602" s="380"/>
      <c r="BC602" s="380"/>
      <c r="BD602" s="380"/>
      <c r="BE602" s="380"/>
      <c r="BF602" s="380"/>
      <c r="BG602" s="380"/>
      <c r="BH602" s="380"/>
      <c r="BI602" s="511"/>
      <c r="BJ602" s="380"/>
      <c r="BK602" s="380"/>
      <c r="BL602" s="380"/>
      <c r="BM602" s="380"/>
      <c r="BN602" s="380"/>
      <c r="BO602" s="380"/>
      <c r="BP602" s="380"/>
      <c r="BQ602" s="380"/>
      <c r="BR602" s="380"/>
    </row>
    <row r="603" spans="1:70" ht="12.75" customHeight="1" x14ac:dyDescent="0.25">
      <c r="A603" s="380"/>
      <c r="B603" s="380"/>
      <c r="C603" s="380"/>
      <c r="D603" s="380"/>
      <c r="E603" s="511"/>
      <c r="F603" s="511"/>
      <c r="G603" s="582"/>
      <c r="H603" s="511"/>
      <c r="I603" s="511"/>
      <c r="J603" s="582"/>
      <c r="K603" s="511"/>
      <c r="L603" s="511"/>
      <c r="M603" s="582"/>
      <c r="N603" s="582"/>
      <c r="O603" s="582"/>
      <c r="P603" s="582"/>
      <c r="Q603" s="511"/>
      <c r="R603" s="511"/>
      <c r="S603" s="511"/>
      <c r="T603" s="639"/>
      <c r="U603" s="511"/>
      <c r="V603" s="511"/>
      <c r="W603" s="511"/>
      <c r="X603" s="511"/>
      <c r="Y603" s="380"/>
      <c r="Z603" s="380"/>
      <c r="AA603" s="380"/>
      <c r="AB603" s="380"/>
      <c r="AC603" s="380"/>
      <c r="AD603" s="671"/>
      <c r="AE603" s="380"/>
      <c r="AF603" s="380"/>
      <c r="AG603" s="380"/>
      <c r="AH603" s="671"/>
      <c r="AI603" s="380"/>
      <c r="AJ603" s="583"/>
      <c r="AK603" s="583"/>
      <c r="AL603" s="511"/>
      <c r="AM603" s="584"/>
      <c r="AN603" s="584"/>
      <c r="AO603" s="584"/>
      <c r="AP603" s="671"/>
      <c r="AQ603" s="584"/>
      <c r="AR603" s="583"/>
      <c r="AS603" s="583"/>
      <c r="AT603" s="585"/>
      <c r="AU603" s="585"/>
      <c r="AV603" s="585"/>
      <c r="AW603" s="585"/>
      <c r="AX603" s="673"/>
      <c r="AY603" s="380"/>
      <c r="AZ603" s="380"/>
      <c r="BA603" s="380"/>
      <c r="BB603" s="380"/>
      <c r="BC603" s="380"/>
      <c r="BD603" s="380"/>
      <c r="BE603" s="380"/>
      <c r="BF603" s="380"/>
      <c r="BG603" s="380"/>
      <c r="BH603" s="380"/>
      <c r="BI603" s="511"/>
      <c r="BJ603" s="380"/>
      <c r="BK603" s="380"/>
      <c r="BL603" s="380"/>
      <c r="BM603" s="380"/>
      <c r="BN603" s="380"/>
      <c r="BO603" s="380"/>
      <c r="BP603" s="380"/>
      <c r="BQ603" s="380"/>
      <c r="BR603" s="380"/>
    </row>
    <row r="604" spans="1:70" ht="12.75" customHeight="1" x14ac:dyDescent="0.25">
      <c r="A604" s="380"/>
      <c r="B604" s="380"/>
      <c r="C604" s="380"/>
      <c r="D604" s="380"/>
      <c r="E604" s="511"/>
      <c r="F604" s="511"/>
      <c r="G604" s="582"/>
      <c r="H604" s="511"/>
      <c r="I604" s="511"/>
      <c r="J604" s="582"/>
      <c r="K604" s="511"/>
      <c r="L604" s="511"/>
      <c r="M604" s="582"/>
      <c r="N604" s="582"/>
      <c r="O604" s="582"/>
      <c r="P604" s="582"/>
      <c r="Q604" s="511"/>
      <c r="R604" s="511"/>
      <c r="S604" s="511"/>
      <c r="T604" s="639"/>
      <c r="U604" s="511"/>
      <c r="V604" s="511"/>
      <c r="W604" s="511"/>
      <c r="X604" s="511"/>
      <c r="Y604" s="380"/>
      <c r="Z604" s="380"/>
      <c r="AA604" s="380"/>
      <c r="AB604" s="380"/>
      <c r="AC604" s="380"/>
      <c r="AD604" s="671"/>
      <c r="AE604" s="380"/>
      <c r="AF604" s="380"/>
      <c r="AG604" s="380"/>
      <c r="AH604" s="671"/>
      <c r="AI604" s="380"/>
      <c r="AJ604" s="583"/>
      <c r="AK604" s="583"/>
      <c r="AL604" s="511"/>
      <c r="AM604" s="584"/>
      <c r="AN604" s="584"/>
      <c r="AO604" s="584"/>
      <c r="AP604" s="671"/>
      <c r="AQ604" s="584"/>
      <c r="AR604" s="583"/>
      <c r="AS604" s="583"/>
      <c r="AT604" s="585"/>
      <c r="AU604" s="585"/>
      <c r="AV604" s="585"/>
      <c r="AW604" s="585"/>
      <c r="AX604" s="673"/>
      <c r="AY604" s="380"/>
      <c r="AZ604" s="380"/>
      <c r="BA604" s="380"/>
      <c r="BB604" s="380"/>
      <c r="BC604" s="380"/>
      <c r="BD604" s="380"/>
      <c r="BE604" s="380"/>
      <c r="BF604" s="380"/>
      <c r="BG604" s="380"/>
      <c r="BH604" s="380"/>
      <c r="BI604" s="511"/>
      <c r="BJ604" s="380"/>
      <c r="BK604" s="380"/>
      <c r="BL604" s="380"/>
      <c r="BM604" s="380"/>
      <c r="BN604" s="380"/>
      <c r="BO604" s="380"/>
      <c r="BP604" s="380"/>
      <c r="BQ604" s="380"/>
      <c r="BR604" s="380"/>
    </row>
    <row r="605" spans="1:70" ht="12.75" customHeight="1" x14ac:dyDescent="0.25">
      <c r="A605" s="380"/>
      <c r="B605" s="380"/>
      <c r="C605" s="380"/>
      <c r="D605" s="380"/>
      <c r="E605" s="511"/>
      <c r="F605" s="511"/>
      <c r="G605" s="582"/>
      <c r="H605" s="511"/>
      <c r="I605" s="511"/>
      <c r="J605" s="582"/>
      <c r="K605" s="511"/>
      <c r="L605" s="511"/>
      <c r="M605" s="582"/>
      <c r="N605" s="582"/>
      <c r="O605" s="582"/>
      <c r="P605" s="582"/>
      <c r="Q605" s="511"/>
      <c r="R605" s="511"/>
      <c r="S605" s="511"/>
      <c r="T605" s="639"/>
      <c r="U605" s="511"/>
      <c r="V605" s="511"/>
      <c r="W605" s="511"/>
      <c r="X605" s="511"/>
      <c r="Y605" s="380"/>
      <c r="Z605" s="380"/>
      <c r="AA605" s="380"/>
      <c r="AB605" s="380"/>
      <c r="AC605" s="380"/>
      <c r="AD605" s="671"/>
      <c r="AE605" s="380"/>
      <c r="AF605" s="380"/>
      <c r="AG605" s="380"/>
      <c r="AH605" s="671"/>
      <c r="AI605" s="380"/>
      <c r="AJ605" s="583"/>
      <c r="AK605" s="583"/>
      <c r="AL605" s="511"/>
      <c r="AM605" s="584"/>
      <c r="AN605" s="584"/>
      <c r="AO605" s="584"/>
      <c r="AP605" s="671"/>
      <c r="AQ605" s="584"/>
      <c r="AR605" s="583"/>
      <c r="AS605" s="583"/>
      <c r="AT605" s="585"/>
      <c r="AU605" s="585"/>
      <c r="AV605" s="585"/>
      <c r="AW605" s="585"/>
      <c r="AX605" s="673"/>
      <c r="AY605" s="380"/>
      <c r="AZ605" s="380"/>
      <c r="BA605" s="380"/>
      <c r="BB605" s="380"/>
      <c r="BC605" s="380"/>
      <c r="BD605" s="380"/>
      <c r="BE605" s="380"/>
      <c r="BF605" s="380"/>
      <c r="BG605" s="380"/>
      <c r="BH605" s="380"/>
      <c r="BI605" s="511"/>
      <c r="BJ605" s="380"/>
      <c r="BK605" s="380"/>
      <c r="BL605" s="380"/>
      <c r="BM605" s="380"/>
      <c r="BN605" s="380"/>
      <c r="BO605" s="380"/>
      <c r="BP605" s="380"/>
      <c r="BQ605" s="380"/>
      <c r="BR605" s="380"/>
    </row>
    <row r="606" spans="1:70" ht="12.75" customHeight="1" x14ac:dyDescent="0.25">
      <c r="A606" s="380"/>
      <c r="B606" s="380"/>
      <c r="C606" s="380"/>
      <c r="D606" s="380"/>
      <c r="E606" s="511"/>
      <c r="F606" s="511"/>
      <c r="G606" s="582"/>
      <c r="H606" s="511"/>
      <c r="I606" s="511"/>
      <c r="J606" s="582"/>
      <c r="K606" s="511"/>
      <c r="L606" s="511"/>
      <c r="M606" s="582"/>
      <c r="N606" s="582"/>
      <c r="O606" s="582"/>
      <c r="P606" s="582"/>
      <c r="Q606" s="511"/>
      <c r="R606" s="511"/>
      <c r="S606" s="511"/>
      <c r="T606" s="639"/>
      <c r="U606" s="511"/>
      <c r="V606" s="511"/>
      <c r="W606" s="511"/>
      <c r="X606" s="511"/>
      <c r="Y606" s="380"/>
      <c r="Z606" s="380"/>
      <c r="AA606" s="380"/>
      <c r="AB606" s="380"/>
      <c r="AC606" s="380"/>
      <c r="AD606" s="671"/>
      <c r="AE606" s="380"/>
      <c r="AF606" s="380"/>
      <c r="AG606" s="380"/>
      <c r="AH606" s="671"/>
      <c r="AI606" s="380"/>
      <c r="AJ606" s="583"/>
      <c r="AK606" s="583"/>
      <c r="AL606" s="511"/>
      <c r="AM606" s="584"/>
      <c r="AN606" s="584"/>
      <c r="AO606" s="584"/>
      <c r="AP606" s="671"/>
      <c r="AQ606" s="584"/>
      <c r="AR606" s="583"/>
      <c r="AS606" s="583"/>
      <c r="AT606" s="585"/>
      <c r="AU606" s="585"/>
      <c r="AV606" s="585"/>
      <c r="AW606" s="585"/>
      <c r="AX606" s="673"/>
      <c r="AY606" s="380"/>
      <c r="AZ606" s="380"/>
      <c r="BA606" s="380"/>
      <c r="BB606" s="380"/>
      <c r="BC606" s="380"/>
      <c r="BD606" s="380"/>
      <c r="BE606" s="380"/>
      <c r="BF606" s="380"/>
      <c r="BG606" s="380"/>
      <c r="BH606" s="380"/>
      <c r="BI606" s="511"/>
      <c r="BJ606" s="380"/>
      <c r="BK606" s="380"/>
      <c r="BL606" s="380"/>
      <c r="BM606" s="380"/>
      <c r="BN606" s="380"/>
      <c r="BO606" s="380"/>
      <c r="BP606" s="380"/>
      <c r="BQ606" s="380"/>
      <c r="BR606" s="380"/>
    </row>
    <row r="607" spans="1:70" ht="12.75" customHeight="1" x14ac:dyDescent="0.25">
      <c r="A607" s="380"/>
      <c r="B607" s="380"/>
      <c r="C607" s="380"/>
      <c r="D607" s="380"/>
      <c r="E607" s="511"/>
      <c r="F607" s="511"/>
      <c r="G607" s="582"/>
      <c r="H607" s="511"/>
      <c r="I607" s="511"/>
      <c r="J607" s="582"/>
      <c r="K607" s="511"/>
      <c r="L607" s="511"/>
      <c r="M607" s="582"/>
      <c r="N607" s="582"/>
      <c r="O607" s="582"/>
      <c r="P607" s="582"/>
      <c r="Q607" s="511"/>
      <c r="R607" s="511"/>
      <c r="S607" s="511"/>
      <c r="T607" s="639"/>
      <c r="U607" s="511"/>
      <c r="V607" s="511"/>
      <c r="W607" s="511"/>
      <c r="X607" s="511"/>
      <c r="Y607" s="380"/>
      <c r="Z607" s="380"/>
      <c r="AA607" s="380"/>
      <c r="AB607" s="380"/>
      <c r="AC607" s="380"/>
      <c r="AD607" s="671"/>
      <c r="AE607" s="380"/>
      <c r="AF607" s="380"/>
      <c r="AG607" s="380"/>
      <c r="AH607" s="671"/>
      <c r="AI607" s="380"/>
      <c r="AJ607" s="583"/>
      <c r="AK607" s="583"/>
      <c r="AL607" s="511"/>
      <c r="AM607" s="584"/>
      <c r="AN607" s="584"/>
      <c r="AO607" s="584"/>
      <c r="AP607" s="671"/>
      <c r="AQ607" s="584"/>
      <c r="AR607" s="583"/>
      <c r="AS607" s="583"/>
      <c r="AT607" s="585"/>
      <c r="AU607" s="585"/>
      <c r="AV607" s="585"/>
      <c r="AW607" s="585"/>
      <c r="AX607" s="673"/>
      <c r="AY607" s="380"/>
      <c r="AZ607" s="380"/>
      <c r="BA607" s="380"/>
      <c r="BB607" s="380"/>
      <c r="BC607" s="380"/>
      <c r="BD607" s="380"/>
      <c r="BE607" s="380"/>
      <c r="BF607" s="380"/>
      <c r="BG607" s="380"/>
      <c r="BH607" s="380"/>
      <c r="BI607" s="511"/>
      <c r="BJ607" s="380"/>
      <c r="BK607" s="380"/>
      <c r="BL607" s="380"/>
      <c r="BM607" s="380"/>
      <c r="BN607" s="380"/>
      <c r="BO607" s="380"/>
      <c r="BP607" s="380"/>
      <c r="BQ607" s="380"/>
      <c r="BR607" s="380"/>
    </row>
    <row r="608" spans="1:70" ht="12.75" customHeight="1" x14ac:dyDescent="0.25">
      <c r="A608" s="380"/>
      <c r="B608" s="380"/>
      <c r="C608" s="380"/>
      <c r="D608" s="380"/>
      <c r="E608" s="511"/>
      <c r="F608" s="511"/>
      <c r="G608" s="582"/>
      <c r="H608" s="511"/>
      <c r="I608" s="511"/>
      <c r="J608" s="582"/>
      <c r="K608" s="511"/>
      <c r="L608" s="511"/>
      <c r="M608" s="582"/>
      <c r="N608" s="582"/>
      <c r="O608" s="582"/>
      <c r="P608" s="582"/>
      <c r="Q608" s="511"/>
      <c r="R608" s="511"/>
      <c r="S608" s="511"/>
      <c r="T608" s="639"/>
      <c r="U608" s="511"/>
      <c r="V608" s="511"/>
      <c r="W608" s="511"/>
      <c r="X608" s="511"/>
      <c r="Y608" s="380"/>
      <c r="Z608" s="380"/>
      <c r="AA608" s="380"/>
      <c r="AB608" s="380"/>
      <c r="AC608" s="380"/>
      <c r="AD608" s="671"/>
      <c r="AE608" s="380"/>
      <c r="AF608" s="380"/>
      <c r="AG608" s="380"/>
      <c r="AH608" s="671"/>
      <c r="AI608" s="380"/>
      <c r="AJ608" s="583"/>
      <c r="AK608" s="583"/>
      <c r="AL608" s="511"/>
      <c r="AM608" s="584"/>
      <c r="AN608" s="584"/>
      <c r="AO608" s="584"/>
      <c r="AP608" s="671"/>
      <c r="AQ608" s="584"/>
      <c r="AR608" s="583"/>
      <c r="AS608" s="583"/>
      <c r="AT608" s="585"/>
      <c r="AU608" s="585"/>
      <c r="AV608" s="585"/>
      <c r="AW608" s="585"/>
      <c r="AX608" s="673"/>
      <c r="AY608" s="380"/>
      <c r="AZ608" s="380"/>
      <c r="BA608" s="380"/>
      <c r="BB608" s="380"/>
      <c r="BC608" s="380"/>
      <c r="BD608" s="380"/>
      <c r="BE608" s="380"/>
      <c r="BF608" s="380"/>
      <c r="BG608" s="380"/>
      <c r="BH608" s="380"/>
      <c r="BI608" s="511"/>
      <c r="BJ608" s="380"/>
      <c r="BK608" s="380"/>
      <c r="BL608" s="380"/>
      <c r="BM608" s="380"/>
      <c r="BN608" s="380"/>
      <c r="BO608" s="380"/>
      <c r="BP608" s="380"/>
      <c r="BQ608" s="380"/>
      <c r="BR608" s="380"/>
    </row>
    <row r="609" spans="1:70" ht="12.75" customHeight="1" x14ac:dyDescent="0.25">
      <c r="A609" s="380"/>
      <c r="B609" s="380"/>
      <c r="C609" s="380"/>
      <c r="D609" s="380"/>
      <c r="E609" s="511"/>
      <c r="F609" s="511"/>
      <c r="G609" s="582"/>
      <c r="H609" s="511"/>
      <c r="I609" s="511"/>
      <c r="J609" s="582"/>
      <c r="K609" s="511"/>
      <c r="L609" s="511"/>
      <c r="M609" s="582"/>
      <c r="N609" s="582"/>
      <c r="O609" s="582"/>
      <c r="P609" s="582"/>
      <c r="Q609" s="511"/>
      <c r="R609" s="511"/>
      <c r="S609" s="511"/>
      <c r="T609" s="639"/>
      <c r="U609" s="511"/>
      <c r="V609" s="511"/>
      <c r="W609" s="511"/>
      <c r="X609" s="511"/>
      <c r="Y609" s="380"/>
      <c r="Z609" s="380"/>
      <c r="AA609" s="380"/>
      <c r="AB609" s="380"/>
      <c r="AC609" s="380"/>
      <c r="AD609" s="671"/>
      <c r="AE609" s="380"/>
      <c r="AF609" s="380"/>
      <c r="AG609" s="380"/>
      <c r="AH609" s="671"/>
      <c r="AI609" s="380"/>
      <c r="AJ609" s="583"/>
      <c r="AK609" s="583"/>
      <c r="AL609" s="511"/>
      <c r="AM609" s="584"/>
      <c r="AN609" s="584"/>
      <c r="AO609" s="584"/>
      <c r="AP609" s="671"/>
      <c r="AQ609" s="584"/>
      <c r="AR609" s="583"/>
      <c r="AS609" s="583"/>
      <c r="AT609" s="585"/>
      <c r="AU609" s="585"/>
      <c r="AV609" s="585"/>
      <c r="AW609" s="585"/>
      <c r="AX609" s="673"/>
      <c r="AY609" s="380"/>
      <c r="AZ609" s="380"/>
      <c r="BA609" s="380"/>
      <c r="BB609" s="380"/>
      <c r="BC609" s="380"/>
      <c r="BD609" s="380"/>
      <c r="BE609" s="380"/>
      <c r="BF609" s="380"/>
      <c r="BG609" s="380"/>
      <c r="BH609" s="380"/>
      <c r="BI609" s="511"/>
      <c r="BJ609" s="380"/>
      <c r="BK609" s="380"/>
      <c r="BL609" s="380"/>
      <c r="BM609" s="380"/>
      <c r="BN609" s="380"/>
      <c r="BO609" s="380"/>
      <c r="BP609" s="380"/>
      <c r="BQ609" s="380"/>
      <c r="BR609" s="380"/>
    </row>
    <row r="610" spans="1:70" ht="12.75" customHeight="1" x14ac:dyDescent="0.25">
      <c r="A610" s="380"/>
      <c r="B610" s="380"/>
      <c r="C610" s="380"/>
      <c r="D610" s="380"/>
      <c r="E610" s="511"/>
      <c r="F610" s="511"/>
      <c r="G610" s="582"/>
      <c r="H610" s="511"/>
      <c r="I610" s="511"/>
      <c r="J610" s="582"/>
      <c r="K610" s="511"/>
      <c r="L610" s="511"/>
      <c r="M610" s="582"/>
      <c r="N610" s="582"/>
      <c r="O610" s="582"/>
      <c r="P610" s="582"/>
      <c r="Q610" s="511"/>
      <c r="R610" s="511"/>
      <c r="S610" s="511"/>
      <c r="T610" s="639"/>
      <c r="U610" s="511"/>
      <c r="V610" s="511"/>
      <c r="W610" s="511"/>
      <c r="X610" s="511"/>
      <c r="Y610" s="380"/>
      <c r="Z610" s="380"/>
      <c r="AA610" s="380"/>
      <c r="AB610" s="380"/>
      <c r="AC610" s="380"/>
      <c r="AD610" s="671"/>
      <c r="AE610" s="380"/>
      <c r="AF610" s="380"/>
      <c r="AG610" s="380"/>
      <c r="AH610" s="671"/>
      <c r="AI610" s="380"/>
      <c r="AJ610" s="583"/>
      <c r="AK610" s="583"/>
      <c r="AL610" s="511"/>
      <c r="AM610" s="584"/>
      <c r="AN610" s="584"/>
      <c r="AO610" s="584"/>
      <c r="AP610" s="671"/>
      <c r="AQ610" s="584"/>
      <c r="AR610" s="583"/>
      <c r="AS610" s="583"/>
      <c r="AT610" s="585"/>
      <c r="AU610" s="585"/>
      <c r="AV610" s="585"/>
      <c r="AW610" s="585"/>
      <c r="AX610" s="673"/>
      <c r="AY610" s="380"/>
      <c r="AZ610" s="380"/>
      <c r="BA610" s="380"/>
      <c r="BB610" s="380"/>
      <c r="BC610" s="380"/>
      <c r="BD610" s="380"/>
      <c r="BE610" s="380"/>
      <c r="BF610" s="380"/>
      <c r="BG610" s="380"/>
      <c r="BH610" s="380"/>
      <c r="BI610" s="511"/>
      <c r="BJ610" s="380"/>
      <c r="BK610" s="380"/>
      <c r="BL610" s="380"/>
      <c r="BM610" s="380"/>
      <c r="BN610" s="380"/>
      <c r="BO610" s="380"/>
      <c r="BP610" s="380"/>
      <c r="BQ610" s="380"/>
      <c r="BR610" s="380"/>
    </row>
    <row r="611" spans="1:70" ht="12.75" customHeight="1" x14ac:dyDescent="0.25">
      <c r="A611" s="380"/>
      <c r="B611" s="380"/>
      <c r="C611" s="380"/>
      <c r="D611" s="380"/>
      <c r="E611" s="511"/>
      <c r="F611" s="511"/>
      <c r="G611" s="582"/>
      <c r="H611" s="511"/>
      <c r="I611" s="511"/>
      <c r="J611" s="582"/>
      <c r="K611" s="511"/>
      <c r="L611" s="511"/>
      <c r="M611" s="582"/>
      <c r="N611" s="582"/>
      <c r="O611" s="582"/>
      <c r="P611" s="582"/>
      <c r="Q611" s="511"/>
      <c r="R611" s="511"/>
      <c r="S611" s="511"/>
      <c r="T611" s="639"/>
      <c r="U611" s="511"/>
      <c r="V611" s="511"/>
      <c r="W611" s="511"/>
      <c r="X611" s="511"/>
      <c r="Y611" s="380"/>
      <c r="Z611" s="380"/>
      <c r="AA611" s="380"/>
      <c r="AB611" s="380"/>
      <c r="AC611" s="380"/>
      <c r="AD611" s="671"/>
      <c r="AE611" s="380"/>
      <c r="AF611" s="380"/>
      <c r="AG611" s="380"/>
      <c r="AH611" s="671"/>
      <c r="AI611" s="380"/>
      <c r="AJ611" s="583"/>
      <c r="AK611" s="583"/>
      <c r="AL611" s="511"/>
      <c r="AM611" s="584"/>
      <c r="AN611" s="584"/>
      <c r="AO611" s="584"/>
      <c r="AP611" s="671"/>
      <c r="AQ611" s="584"/>
      <c r="AR611" s="583"/>
      <c r="AS611" s="583"/>
      <c r="AT611" s="585"/>
      <c r="AU611" s="585"/>
      <c r="AV611" s="585"/>
      <c r="AW611" s="585"/>
      <c r="AX611" s="673"/>
      <c r="AY611" s="380"/>
      <c r="AZ611" s="380"/>
      <c r="BA611" s="380"/>
      <c r="BB611" s="380"/>
      <c r="BC611" s="380"/>
      <c r="BD611" s="380"/>
      <c r="BE611" s="380"/>
      <c r="BF611" s="380"/>
      <c r="BG611" s="380"/>
      <c r="BH611" s="380"/>
      <c r="BI611" s="511"/>
      <c r="BJ611" s="380"/>
      <c r="BK611" s="380"/>
      <c r="BL611" s="380"/>
      <c r="BM611" s="380"/>
      <c r="BN611" s="380"/>
      <c r="BO611" s="380"/>
      <c r="BP611" s="380"/>
      <c r="BQ611" s="380"/>
      <c r="BR611" s="380"/>
    </row>
    <row r="612" spans="1:70" ht="12.75" customHeight="1" x14ac:dyDescent="0.25">
      <c r="A612" s="380"/>
      <c r="B612" s="380"/>
      <c r="C612" s="380"/>
      <c r="D612" s="380"/>
      <c r="E612" s="511"/>
      <c r="F612" s="511"/>
      <c r="G612" s="582"/>
      <c r="H612" s="511"/>
      <c r="I612" s="511"/>
      <c r="J612" s="582"/>
      <c r="K612" s="511"/>
      <c r="L612" s="511"/>
      <c r="M612" s="582"/>
      <c r="N612" s="582"/>
      <c r="O612" s="582"/>
      <c r="P612" s="582"/>
      <c r="Q612" s="511"/>
      <c r="R612" s="511"/>
      <c r="S612" s="511"/>
      <c r="T612" s="639"/>
      <c r="U612" s="511"/>
      <c r="V612" s="511"/>
      <c r="W612" s="511"/>
      <c r="X612" s="511"/>
      <c r="Y612" s="380"/>
      <c r="Z612" s="380"/>
      <c r="AA612" s="380"/>
      <c r="AB612" s="380"/>
      <c r="AC612" s="380"/>
      <c r="AD612" s="671"/>
      <c r="AE612" s="380"/>
      <c r="AF612" s="380"/>
      <c r="AG612" s="380"/>
      <c r="AH612" s="671"/>
      <c r="AI612" s="380"/>
      <c r="AJ612" s="583"/>
      <c r="AK612" s="583"/>
      <c r="AL612" s="511"/>
      <c r="AM612" s="584"/>
      <c r="AN612" s="584"/>
      <c r="AO612" s="584"/>
      <c r="AP612" s="671"/>
      <c r="AQ612" s="584"/>
      <c r="AR612" s="583"/>
      <c r="AS612" s="583"/>
      <c r="AT612" s="585"/>
      <c r="AU612" s="585"/>
      <c r="AV612" s="585"/>
      <c r="AW612" s="585"/>
      <c r="AX612" s="673"/>
      <c r="AY612" s="380"/>
      <c r="AZ612" s="380"/>
      <c r="BA612" s="380"/>
      <c r="BB612" s="380"/>
      <c r="BC612" s="380"/>
      <c r="BD612" s="380"/>
      <c r="BE612" s="380"/>
      <c r="BF612" s="380"/>
      <c r="BG612" s="380"/>
      <c r="BH612" s="380"/>
      <c r="BI612" s="511"/>
      <c r="BJ612" s="380"/>
      <c r="BK612" s="380"/>
      <c r="BL612" s="380"/>
      <c r="BM612" s="380"/>
      <c r="BN612" s="380"/>
      <c r="BO612" s="380"/>
      <c r="BP612" s="380"/>
      <c r="BQ612" s="380"/>
      <c r="BR612" s="380"/>
    </row>
    <row r="613" spans="1:70" ht="12.75" customHeight="1" x14ac:dyDescent="0.25">
      <c r="A613" s="380"/>
      <c r="B613" s="380"/>
      <c r="C613" s="380"/>
      <c r="D613" s="380"/>
      <c r="E613" s="511"/>
      <c r="F613" s="511"/>
      <c r="G613" s="582"/>
      <c r="H613" s="511"/>
      <c r="I613" s="511"/>
      <c r="J613" s="582"/>
      <c r="K613" s="511"/>
      <c r="L613" s="511"/>
      <c r="M613" s="582"/>
      <c r="N613" s="582"/>
      <c r="O613" s="582"/>
      <c r="P613" s="582"/>
      <c r="Q613" s="511"/>
      <c r="R613" s="511"/>
      <c r="S613" s="511"/>
      <c r="T613" s="639"/>
      <c r="U613" s="511"/>
      <c r="V613" s="511"/>
      <c r="W613" s="511"/>
      <c r="X613" s="511"/>
      <c r="Y613" s="380"/>
      <c r="Z613" s="380"/>
      <c r="AA613" s="380"/>
      <c r="AB613" s="380"/>
      <c r="AC613" s="380"/>
      <c r="AD613" s="671"/>
      <c r="AE613" s="380"/>
      <c r="AF613" s="380"/>
      <c r="AG613" s="380"/>
      <c r="AH613" s="671"/>
      <c r="AI613" s="380"/>
      <c r="AJ613" s="583"/>
      <c r="AK613" s="583"/>
      <c r="AL613" s="511"/>
      <c r="AM613" s="584"/>
      <c r="AN613" s="584"/>
      <c r="AO613" s="584"/>
      <c r="AP613" s="671"/>
      <c r="AQ613" s="584"/>
      <c r="AR613" s="583"/>
      <c r="AS613" s="583"/>
      <c r="AT613" s="585"/>
      <c r="AU613" s="585"/>
      <c r="AV613" s="585"/>
      <c r="AW613" s="585"/>
      <c r="AX613" s="673"/>
      <c r="AY613" s="380"/>
      <c r="AZ613" s="380"/>
      <c r="BA613" s="380"/>
      <c r="BB613" s="380"/>
      <c r="BC613" s="380"/>
      <c r="BD613" s="380"/>
      <c r="BE613" s="380"/>
      <c r="BF613" s="380"/>
      <c r="BG613" s="380"/>
      <c r="BH613" s="380"/>
      <c r="BI613" s="511"/>
      <c r="BJ613" s="380"/>
      <c r="BK613" s="380"/>
      <c r="BL613" s="380"/>
      <c r="BM613" s="380"/>
      <c r="BN613" s="380"/>
      <c r="BO613" s="380"/>
      <c r="BP613" s="380"/>
      <c r="BQ613" s="380"/>
      <c r="BR613" s="380"/>
    </row>
    <row r="614" spans="1:70" ht="12.75" customHeight="1" x14ac:dyDescent="0.25">
      <c r="A614" s="380"/>
      <c r="B614" s="380"/>
      <c r="C614" s="380"/>
      <c r="D614" s="380"/>
      <c r="E614" s="511"/>
      <c r="F614" s="511"/>
      <c r="G614" s="582"/>
      <c r="H614" s="511"/>
      <c r="I614" s="511"/>
      <c r="J614" s="582"/>
      <c r="K614" s="511"/>
      <c r="L614" s="511"/>
      <c r="M614" s="582"/>
      <c r="N614" s="582"/>
      <c r="O614" s="582"/>
      <c r="P614" s="582"/>
      <c r="Q614" s="511"/>
      <c r="R614" s="511"/>
      <c r="S614" s="511"/>
      <c r="T614" s="639"/>
      <c r="U614" s="511"/>
      <c r="V614" s="511"/>
      <c r="W614" s="511"/>
      <c r="X614" s="511"/>
      <c r="Y614" s="380"/>
      <c r="Z614" s="380"/>
      <c r="AA614" s="380"/>
      <c r="AB614" s="380"/>
      <c r="AC614" s="380"/>
      <c r="AD614" s="671"/>
      <c r="AE614" s="380"/>
      <c r="AF614" s="380"/>
      <c r="AG614" s="380"/>
      <c r="AH614" s="671"/>
      <c r="AI614" s="380"/>
      <c r="AJ614" s="583"/>
      <c r="AK614" s="583"/>
      <c r="AL614" s="511"/>
      <c r="AM614" s="584"/>
      <c r="AN614" s="584"/>
      <c r="AO614" s="584"/>
      <c r="AP614" s="671"/>
      <c r="AQ614" s="584"/>
      <c r="AR614" s="583"/>
      <c r="AS614" s="583"/>
      <c r="AT614" s="585"/>
      <c r="AU614" s="585"/>
      <c r="AV614" s="585"/>
      <c r="AW614" s="585"/>
      <c r="AX614" s="673"/>
      <c r="AY614" s="380"/>
      <c r="AZ614" s="380"/>
      <c r="BA614" s="380"/>
      <c r="BB614" s="380"/>
      <c r="BC614" s="380"/>
      <c r="BD614" s="380"/>
      <c r="BE614" s="380"/>
      <c r="BF614" s="380"/>
      <c r="BG614" s="380"/>
      <c r="BH614" s="380"/>
      <c r="BI614" s="511"/>
      <c r="BJ614" s="380"/>
      <c r="BK614" s="380"/>
      <c r="BL614" s="380"/>
      <c r="BM614" s="380"/>
      <c r="BN614" s="380"/>
      <c r="BO614" s="380"/>
      <c r="BP614" s="380"/>
      <c r="BQ614" s="380"/>
      <c r="BR614" s="380"/>
    </row>
    <row r="615" spans="1:70" ht="12.75" customHeight="1" x14ac:dyDescent="0.25">
      <c r="A615" s="380"/>
      <c r="B615" s="380"/>
      <c r="C615" s="380"/>
      <c r="D615" s="380"/>
      <c r="E615" s="511"/>
      <c r="F615" s="511"/>
      <c r="G615" s="582"/>
      <c r="H615" s="511"/>
      <c r="I615" s="511"/>
      <c r="J615" s="582"/>
      <c r="K615" s="511"/>
      <c r="L615" s="511"/>
      <c r="M615" s="582"/>
      <c r="N615" s="582"/>
      <c r="O615" s="582"/>
      <c r="P615" s="582"/>
      <c r="Q615" s="511"/>
      <c r="R615" s="511"/>
      <c r="S615" s="511"/>
      <c r="T615" s="639"/>
      <c r="U615" s="511"/>
      <c r="V615" s="511"/>
      <c r="W615" s="511"/>
      <c r="X615" s="511"/>
      <c r="Y615" s="380"/>
      <c r="Z615" s="380"/>
      <c r="AA615" s="380"/>
      <c r="AB615" s="380"/>
      <c r="AC615" s="380"/>
      <c r="AD615" s="671"/>
      <c r="AE615" s="380"/>
      <c r="AF615" s="380"/>
      <c r="AG615" s="380"/>
      <c r="AH615" s="671"/>
      <c r="AI615" s="380"/>
      <c r="AJ615" s="583"/>
      <c r="AK615" s="583"/>
      <c r="AL615" s="511"/>
      <c r="AM615" s="584"/>
      <c r="AN615" s="584"/>
      <c r="AO615" s="584"/>
      <c r="AP615" s="671"/>
      <c r="AQ615" s="584"/>
      <c r="AR615" s="583"/>
      <c r="AS615" s="583"/>
      <c r="AT615" s="585"/>
      <c r="AU615" s="585"/>
      <c r="AV615" s="585"/>
      <c r="AW615" s="585"/>
      <c r="AX615" s="673"/>
      <c r="AY615" s="380"/>
      <c r="AZ615" s="380"/>
      <c r="BA615" s="380"/>
      <c r="BB615" s="380"/>
      <c r="BC615" s="380"/>
      <c r="BD615" s="380"/>
      <c r="BE615" s="380"/>
      <c r="BF615" s="380"/>
      <c r="BG615" s="380"/>
      <c r="BH615" s="380"/>
      <c r="BI615" s="511"/>
      <c r="BJ615" s="380"/>
      <c r="BK615" s="380"/>
      <c r="BL615" s="380"/>
      <c r="BM615" s="380"/>
      <c r="BN615" s="380"/>
      <c r="BO615" s="380"/>
      <c r="BP615" s="380"/>
      <c r="BQ615" s="380"/>
      <c r="BR615" s="380"/>
    </row>
    <row r="616" spans="1:70" ht="12.75" customHeight="1" x14ac:dyDescent="0.25">
      <c r="A616" s="380"/>
      <c r="B616" s="380"/>
      <c r="C616" s="380"/>
      <c r="D616" s="380"/>
      <c r="E616" s="511"/>
      <c r="F616" s="511"/>
      <c r="G616" s="582"/>
      <c r="H616" s="511"/>
      <c r="I616" s="511"/>
      <c r="J616" s="582"/>
      <c r="K616" s="511"/>
      <c r="L616" s="511"/>
      <c r="M616" s="582"/>
      <c r="N616" s="582"/>
      <c r="O616" s="582"/>
      <c r="P616" s="582"/>
      <c r="Q616" s="511"/>
      <c r="R616" s="511"/>
      <c r="S616" s="511"/>
      <c r="T616" s="639"/>
      <c r="U616" s="511"/>
      <c r="V616" s="511"/>
      <c r="W616" s="511"/>
      <c r="X616" s="511"/>
      <c r="Y616" s="380"/>
      <c r="Z616" s="380"/>
      <c r="AA616" s="380"/>
      <c r="AB616" s="380"/>
      <c r="AC616" s="380"/>
      <c r="AD616" s="671"/>
      <c r="AE616" s="380"/>
      <c r="AF616" s="380"/>
      <c r="AG616" s="380"/>
      <c r="AH616" s="671"/>
      <c r="AI616" s="380"/>
      <c r="AJ616" s="583"/>
      <c r="AK616" s="583"/>
      <c r="AL616" s="511"/>
      <c r="AM616" s="584"/>
      <c r="AN616" s="584"/>
      <c r="AO616" s="584"/>
      <c r="AP616" s="671"/>
      <c r="AQ616" s="584"/>
      <c r="AR616" s="583"/>
      <c r="AS616" s="583"/>
      <c r="AT616" s="585"/>
      <c r="AU616" s="585"/>
      <c r="AV616" s="585"/>
      <c r="AW616" s="585"/>
      <c r="AX616" s="673"/>
      <c r="AY616" s="380"/>
      <c r="AZ616" s="380"/>
      <c r="BA616" s="380"/>
      <c r="BB616" s="380"/>
      <c r="BC616" s="380"/>
      <c r="BD616" s="380"/>
      <c r="BE616" s="380"/>
      <c r="BF616" s="380"/>
      <c r="BG616" s="380"/>
      <c r="BH616" s="380"/>
      <c r="BI616" s="511"/>
      <c r="BJ616" s="380"/>
      <c r="BK616" s="380"/>
      <c r="BL616" s="380"/>
      <c r="BM616" s="380"/>
      <c r="BN616" s="380"/>
      <c r="BO616" s="380"/>
      <c r="BP616" s="380"/>
      <c r="BQ616" s="380"/>
      <c r="BR616" s="380"/>
    </row>
    <row r="617" spans="1:70" ht="12.75" customHeight="1" x14ac:dyDescent="0.25">
      <c r="A617" s="380"/>
      <c r="B617" s="380"/>
      <c r="C617" s="380"/>
      <c r="D617" s="380"/>
      <c r="E617" s="511"/>
      <c r="F617" s="511"/>
      <c r="G617" s="582"/>
      <c r="H617" s="511"/>
      <c r="I617" s="511"/>
      <c r="J617" s="582"/>
      <c r="K617" s="511"/>
      <c r="L617" s="511"/>
      <c r="M617" s="582"/>
      <c r="N617" s="582"/>
      <c r="O617" s="582"/>
      <c r="P617" s="582"/>
      <c r="Q617" s="511"/>
      <c r="R617" s="511"/>
      <c r="S617" s="511"/>
      <c r="T617" s="639"/>
      <c r="U617" s="511"/>
      <c r="V617" s="511"/>
      <c r="W617" s="511"/>
      <c r="X617" s="511"/>
      <c r="Y617" s="380"/>
      <c r="Z617" s="380"/>
      <c r="AA617" s="380"/>
      <c r="AB617" s="380"/>
      <c r="AC617" s="380"/>
      <c r="AD617" s="671"/>
      <c r="AE617" s="380"/>
      <c r="AF617" s="380"/>
      <c r="AG617" s="380"/>
      <c r="AH617" s="671"/>
      <c r="AI617" s="380"/>
      <c r="AJ617" s="583"/>
      <c r="AK617" s="583"/>
      <c r="AL617" s="511"/>
      <c r="AM617" s="584"/>
      <c r="AN617" s="584"/>
      <c r="AO617" s="584"/>
      <c r="AP617" s="671"/>
      <c r="AQ617" s="584"/>
      <c r="AR617" s="583"/>
      <c r="AS617" s="583"/>
      <c r="AT617" s="585"/>
      <c r="AU617" s="585"/>
      <c r="AV617" s="585"/>
      <c r="AW617" s="585"/>
      <c r="AX617" s="673"/>
      <c r="AY617" s="380"/>
      <c r="AZ617" s="380"/>
      <c r="BA617" s="380"/>
      <c r="BB617" s="380"/>
      <c r="BC617" s="380"/>
      <c r="BD617" s="380"/>
      <c r="BE617" s="380"/>
      <c r="BF617" s="380"/>
      <c r="BG617" s="380"/>
      <c r="BH617" s="380"/>
      <c r="BI617" s="511"/>
      <c r="BJ617" s="380"/>
      <c r="BK617" s="380"/>
      <c r="BL617" s="380"/>
      <c r="BM617" s="380"/>
      <c r="BN617" s="380"/>
      <c r="BO617" s="380"/>
      <c r="BP617" s="380"/>
      <c r="BQ617" s="380"/>
      <c r="BR617" s="380"/>
    </row>
    <row r="618" spans="1:70" ht="12.75" customHeight="1" x14ac:dyDescent="0.25">
      <c r="A618" s="380"/>
      <c r="B618" s="380"/>
      <c r="C618" s="380"/>
      <c r="D618" s="380"/>
      <c r="E618" s="511"/>
      <c r="F618" s="511"/>
      <c r="G618" s="582"/>
      <c r="H618" s="511"/>
      <c r="I618" s="511"/>
      <c r="J618" s="582"/>
      <c r="K618" s="511"/>
      <c r="L618" s="511"/>
      <c r="M618" s="582"/>
      <c r="N618" s="582"/>
      <c r="O618" s="582"/>
      <c r="P618" s="582"/>
      <c r="Q618" s="511"/>
      <c r="R618" s="511"/>
      <c r="S618" s="511"/>
      <c r="T618" s="639"/>
      <c r="U618" s="511"/>
      <c r="V618" s="511"/>
      <c r="W618" s="511"/>
      <c r="X618" s="511"/>
      <c r="Y618" s="380"/>
      <c r="Z618" s="380"/>
      <c r="AA618" s="380"/>
      <c r="AB618" s="380"/>
      <c r="AC618" s="380"/>
      <c r="AD618" s="671"/>
      <c r="AE618" s="380"/>
      <c r="AF618" s="380"/>
      <c r="AG618" s="380"/>
      <c r="AH618" s="671"/>
      <c r="AI618" s="380"/>
      <c r="AJ618" s="583"/>
      <c r="AK618" s="583"/>
      <c r="AL618" s="511"/>
      <c r="AM618" s="584"/>
      <c r="AN618" s="584"/>
      <c r="AO618" s="584"/>
      <c r="AP618" s="671"/>
      <c r="AQ618" s="584"/>
      <c r="AR618" s="583"/>
      <c r="AS618" s="583"/>
      <c r="AT618" s="585"/>
      <c r="AU618" s="585"/>
      <c r="AV618" s="585"/>
      <c r="AW618" s="585"/>
      <c r="AX618" s="673"/>
      <c r="AY618" s="380"/>
      <c r="AZ618" s="380"/>
      <c r="BA618" s="380"/>
      <c r="BB618" s="380"/>
      <c r="BC618" s="380"/>
      <c r="BD618" s="380"/>
      <c r="BE618" s="380"/>
      <c r="BF618" s="380"/>
      <c r="BG618" s="380"/>
      <c r="BH618" s="380"/>
      <c r="BI618" s="511"/>
      <c r="BJ618" s="380"/>
      <c r="BK618" s="380"/>
      <c r="BL618" s="380"/>
      <c r="BM618" s="380"/>
      <c r="BN618" s="380"/>
      <c r="BO618" s="380"/>
      <c r="BP618" s="380"/>
      <c r="BQ618" s="380"/>
      <c r="BR618" s="380"/>
    </row>
    <row r="619" spans="1:70" ht="12.75" customHeight="1" x14ac:dyDescent="0.25">
      <c r="A619" s="380"/>
      <c r="B619" s="380"/>
      <c r="C619" s="380"/>
      <c r="D619" s="380"/>
      <c r="E619" s="511"/>
      <c r="F619" s="511"/>
      <c r="G619" s="582"/>
      <c r="H619" s="511"/>
      <c r="I619" s="511"/>
      <c r="J619" s="582"/>
      <c r="K619" s="511"/>
      <c r="L619" s="511"/>
      <c r="M619" s="582"/>
      <c r="N619" s="582"/>
      <c r="O619" s="582"/>
      <c r="P619" s="582"/>
      <c r="Q619" s="511"/>
      <c r="R619" s="511"/>
      <c r="S619" s="511"/>
      <c r="T619" s="639"/>
      <c r="U619" s="511"/>
      <c r="V619" s="511"/>
      <c r="W619" s="511"/>
      <c r="X619" s="511"/>
      <c r="Y619" s="380"/>
      <c r="Z619" s="380"/>
      <c r="AA619" s="380"/>
      <c r="AB619" s="380"/>
      <c r="AC619" s="380"/>
      <c r="AD619" s="671"/>
      <c r="AE619" s="380"/>
      <c r="AF619" s="380"/>
      <c r="AG619" s="380"/>
      <c r="AH619" s="671"/>
      <c r="AI619" s="380"/>
      <c r="AJ619" s="583"/>
      <c r="AK619" s="583"/>
      <c r="AL619" s="511"/>
      <c r="AM619" s="584"/>
      <c r="AN619" s="584"/>
      <c r="AO619" s="584"/>
      <c r="AP619" s="671"/>
      <c r="AQ619" s="584"/>
      <c r="AR619" s="583"/>
      <c r="AS619" s="583"/>
      <c r="AT619" s="585"/>
      <c r="AU619" s="585"/>
      <c r="AV619" s="585"/>
      <c r="AW619" s="585"/>
      <c r="AX619" s="673"/>
      <c r="AY619" s="380"/>
      <c r="AZ619" s="380"/>
      <c r="BA619" s="380"/>
      <c r="BB619" s="380"/>
      <c r="BC619" s="380"/>
      <c r="BD619" s="380"/>
      <c r="BE619" s="380"/>
      <c r="BF619" s="380"/>
      <c r="BG619" s="380"/>
      <c r="BH619" s="380"/>
      <c r="BI619" s="511"/>
      <c r="BJ619" s="380"/>
      <c r="BK619" s="380"/>
      <c r="BL619" s="380"/>
      <c r="BM619" s="380"/>
      <c r="BN619" s="380"/>
      <c r="BO619" s="380"/>
      <c r="BP619" s="380"/>
      <c r="BQ619" s="380"/>
      <c r="BR619" s="380"/>
    </row>
    <row r="620" spans="1:70" ht="12.75" customHeight="1" x14ac:dyDescent="0.25">
      <c r="A620" s="380"/>
      <c r="B620" s="380"/>
      <c r="C620" s="380"/>
      <c r="D620" s="380"/>
      <c r="E620" s="511"/>
      <c r="F620" s="511"/>
      <c r="G620" s="582"/>
      <c r="H620" s="511"/>
      <c r="I620" s="511"/>
      <c r="J620" s="582"/>
      <c r="K620" s="511"/>
      <c r="L620" s="511"/>
      <c r="M620" s="582"/>
      <c r="N620" s="582"/>
      <c r="O620" s="582"/>
      <c r="P620" s="582"/>
      <c r="Q620" s="511"/>
      <c r="R620" s="511"/>
      <c r="S620" s="511"/>
      <c r="T620" s="639"/>
      <c r="U620" s="511"/>
      <c r="V620" s="511"/>
      <c r="W620" s="511"/>
      <c r="X620" s="511"/>
      <c r="Y620" s="380"/>
      <c r="Z620" s="380"/>
      <c r="AA620" s="380"/>
      <c r="AB620" s="380"/>
      <c r="AC620" s="380"/>
      <c r="AD620" s="671"/>
      <c r="AE620" s="380"/>
      <c r="AF620" s="380"/>
      <c r="AG620" s="380"/>
      <c r="AH620" s="671"/>
      <c r="AI620" s="380"/>
      <c r="AJ620" s="583"/>
      <c r="AK620" s="583"/>
      <c r="AL620" s="511"/>
      <c r="AM620" s="584"/>
      <c r="AN620" s="584"/>
      <c r="AO620" s="584"/>
      <c r="AP620" s="671"/>
      <c r="AQ620" s="584"/>
      <c r="AR620" s="583"/>
      <c r="AS620" s="583"/>
      <c r="AT620" s="585"/>
      <c r="AU620" s="585"/>
      <c r="AV620" s="585"/>
      <c r="AW620" s="585"/>
      <c r="AX620" s="673"/>
      <c r="AY620" s="380"/>
      <c r="AZ620" s="380"/>
      <c r="BA620" s="380"/>
      <c r="BB620" s="380"/>
      <c r="BC620" s="380"/>
      <c r="BD620" s="380"/>
      <c r="BE620" s="380"/>
      <c r="BF620" s="380"/>
      <c r="BG620" s="380"/>
      <c r="BH620" s="380"/>
      <c r="BI620" s="511"/>
      <c r="BJ620" s="380"/>
      <c r="BK620" s="380"/>
      <c r="BL620" s="380"/>
      <c r="BM620" s="380"/>
      <c r="BN620" s="380"/>
      <c r="BO620" s="380"/>
      <c r="BP620" s="380"/>
      <c r="BQ620" s="380"/>
      <c r="BR620" s="380"/>
    </row>
    <row r="621" spans="1:70" ht="12.75" customHeight="1" x14ac:dyDescent="0.25">
      <c r="A621" s="380"/>
      <c r="B621" s="380"/>
      <c r="C621" s="380"/>
      <c r="D621" s="380"/>
      <c r="E621" s="511"/>
      <c r="F621" s="511"/>
      <c r="G621" s="582"/>
      <c r="H621" s="511"/>
      <c r="I621" s="511"/>
      <c r="J621" s="582"/>
      <c r="K621" s="511"/>
      <c r="L621" s="511"/>
      <c r="M621" s="582"/>
      <c r="N621" s="582"/>
      <c r="O621" s="582"/>
      <c r="P621" s="582"/>
      <c r="Q621" s="511"/>
      <c r="R621" s="511"/>
      <c r="S621" s="511"/>
      <c r="T621" s="639"/>
      <c r="U621" s="511"/>
      <c r="V621" s="511"/>
      <c r="W621" s="511"/>
      <c r="X621" s="511"/>
      <c r="Y621" s="380"/>
      <c r="Z621" s="380"/>
      <c r="AA621" s="380"/>
      <c r="AB621" s="380"/>
      <c r="AC621" s="380"/>
      <c r="AD621" s="671"/>
      <c r="AE621" s="380"/>
      <c r="AF621" s="380"/>
      <c r="AG621" s="380"/>
      <c r="AH621" s="671"/>
      <c r="AI621" s="380"/>
      <c r="AJ621" s="583"/>
      <c r="AK621" s="583"/>
      <c r="AL621" s="511"/>
      <c r="AM621" s="584"/>
      <c r="AN621" s="584"/>
      <c r="AO621" s="584"/>
      <c r="AP621" s="671"/>
      <c r="AQ621" s="584"/>
      <c r="AR621" s="583"/>
      <c r="AS621" s="583"/>
      <c r="AT621" s="585"/>
      <c r="AU621" s="585"/>
      <c r="AV621" s="585"/>
      <c r="AW621" s="585"/>
      <c r="AX621" s="673"/>
      <c r="AY621" s="380"/>
      <c r="AZ621" s="380"/>
      <c r="BA621" s="380"/>
      <c r="BB621" s="380"/>
      <c r="BC621" s="380"/>
      <c r="BD621" s="380"/>
      <c r="BE621" s="380"/>
      <c r="BF621" s="380"/>
      <c r="BG621" s="380"/>
      <c r="BH621" s="380"/>
      <c r="BI621" s="511"/>
      <c r="BJ621" s="380"/>
      <c r="BK621" s="380"/>
      <c r="BL621" s="380"/>
      <c r="BM621" s="380"/>
      <c r="BN621" s="380"/>
      <c r="BO621" s="380"/>
      <c r="BP621" s="380"/>
      <c r="BQ621" s="380"/>
      <c r="BR621" s="380"/>
    </row>
    <row r="622" spans="1:70" ht="12.75" customHeight="1" x14ac:dyDescent="0.25">
      <c r="A622" s="380"/>
      <c r="B622" s="380"/>
      <c r="C622" s="380"/>
      <c r="D622" s="380"/>
      <c r="E622" s="511"/>
      <c r="F622" s="511"/>
      <c r="G622" s="582"/>
      <c r="H622" s="511"/>
      <c r="I622" s="511"/>
      <c r="J622" s="582"/>
      <c r="K622" s="511"/>
      <c r="L622" s="511"/>
      <c r="M622" s="582"/>
      <c r="N622" s="582"/>
      <c r="O622" s="582"/>
      <c r="P622" s="582"/>
      <c r="Q622" s="511"/>
      <c r="R622" s="511"/>
      <c r="S622" s="511"/>
      <c r="T622" s="639"/>
      <c r="U622" s="511"/>
      <c r="V622" s="511"/>
      <c r="W622" s="511"/>
      <c r="X622" s="511"/>
      <c r="Y622" s="380"/>
      <c r="Z622" s="380"/>
      <c r="AA622" s="380"/>
      <c r="AB622" s="380"/>
      <c r="AC622" s="380"/>
      <c r="AD622" s="671"/>
      <c r="AE622" s="380"/>
      <c r="AF622" s="380"/>
      <c r="AG622" s="380"/>
      <c r="AH622" s="671"/>
      <c r="AI622" s="380"/>
      <c r="AJ622" s="583"/>
      <c r="AK622" s="583"/>
      <c r="AL622" s="511"/>
      <c r="AM622" s="584"/>
      <c r="AN622" s="584"/>
      <c r="AO622" s="584"/>
      <c r="AP622" s="671"/>
      <c r="AQ622" s="584"/>
      <c r="AR622" s="583"/>
      <c r="AS622" s="583"/>
      <c r="AT622" s="585"/>
      <c r="AU622" s="585"/>
      <c r="AV622" s="585"/>
      <c r="AW622" s="585"/>
      <c r="AX622" s="673"/>
      <c r="AY622" s="380"/>
      <c r="AZ622" s="380"/>
      <c r="BA622" s="380"/>
      <c r="BB622" s="380"/>
      <c r="BC622" s="380"/>
      <c r="BD622" s="380"/>
      <c r="BE622" s="380"/>
      <c r="BF622" s="380"/>
      <c r="BG622" s="380"/>
      <c r="BH622" s="380"/>
      <c r="BI622" s="511"/>
      <c r="BJ622" s="380"/>
      <c r="BK622" s="380"/>
      <c r="BL622" s="380"/>
      <c r="BM622" s="380"/>
      <c r="BN622" s="380"/>
      <c r="BO622" s="380"/>
      <c r="BP622" s="380"/>
      <c r="BQ622" s="380"/>
      <c r="BR622" s="380"/>
    </row>
    <row r="623" spans="1:70" ht="12.75" customHeight="1" x14ac:dyDescent="0.25">
      <c r="A623" s="380"/>
      <c r="B623" s="380"/>
      <c r="C623" s="380"/>
      <c r="D623" s="380"/>
      <c r="E623" s="511"/>
      <c r="F623" s="511"/>
      <c r="G623" s="582"/>
      <c r="H623" s="511"/>
      <c r="I623" s="511"/>
      <c r="J623" s="582"/>
      <c r="K623" s="511"/>
      <c r="L623" s="511"/>
      <c r="M623" s="582"/>
      <c r="N623" s="582"/>
      <c r="O623" s="582"/>
      <c r="P623" s="582"/>
      <c r="Q623" s="511"/>
      <c r="R623" s="511"/>
      <c r="S623" s="511"/>
      <c r="T623" s="639"/>
      <c r="U623" s="511"/>
      <c r="V623" s="511"/>
      <c r="W623" s="511"/>
      <c r="X623" s="511"/>
      <c r="Y623" s="380"/>
      <c r="Z623" s="380"/>
      <c r="AA623" s="380"/>
      <c r="AB623" s="380"/>
      <c r="AC623" s="380"/>
      <c r="AD623" s="671"/>
      <c r="AE623" s="380"/>
      <c r="AF623" s="380"/>
      <c r="AG623" s="380"/>
      <c r="AH623" s="671"/>
      <c r="AI623" s="380"/>
      <c r="AJ623" s="583"/>
      <c r="AK623" s="583"/>
      <c r="AL623" s="511"/>
      <c r="AM623" s="584"/>
      <c r="AN623" s="584"/>
      <c r="AO623" s="584"/>
      <c r="AP623" s="671"/>
      <c r="AQ623" s="584"/>
      <c r="AR623" s="583"/>
      <c r="AS623" s="583"/>
      <c r="AT623" s="585"/>
      <c r="AU623" s="585"/>
      <c r="AV623" s="585"/>
      <c r="AW623" s="585"/>
      <c r="AX623" s="673"/>
      <c r="AY623" s="380"/>
      <c r="AZ623" s="380"/>
      <c r="BA623" s="380"/>
      <c r="BB623" s="380"/>
      <c r="BC623" s="380"/>
      <c r="BD623" s="380"/>
      <c r="BE623" s="380"/>
      <c r="BF623" s="380"/>
      <c r="BG623" s="380"/>
      <c r="BH623" s="380"/>
      <c r="BI623" s="511"/>
      <c r="BJ623" s="380"/>
      <c r="BK623" s="380"/>
      <c r="BL623" s="380"/>
      <c r="BM623" s="380"/>
      <c r="BN623" s="380"/>
      <c r="BO623" s="380"/>
      <c r="BP623" s="380"/>
      <c r="BQ623" s="380"/>
      <c r="BR623" s="380"/>
    </row>
    <row r="624" spans="1:70" ht="12.75" customHeight="1" x14ac:dyDescent="0.25">
      <c r="A624" s="380"/>
      <c r="B624" s="380"/>
      <c r="C624" s="380"/>
      <c r="D624" s="380"/>
      <c r="E624" s="511"/>
      <c r="F624" s="511"/>
      <c r="G624" s="582"/>
      <c r="H624" s="511"/>
      <c r="I624" s="511"/>
      <c r="J624" s="582"/>
      <c r="K624" s="511"/>
      <c r="L624" s="511"/>
      <c r="M624" s="582"/>
      <c r="N624" s="582"/>
      <c r="O624" s="582"/>
      <c r="P624" s="582"/>
      <c r="Q624" s="511"/>
      <c r="R624" s="511"/>
      <c r="S624" s="511"/>
      <c r="T624" s="639"/>
      <c r="U624" s="511"/>
      <c r="V624" s="511"/>
      <c r="W624" s="511"/>
      <c r="X624" s="511"/>
      <c r="Y624" s="380"/>
      <c r="Z624" s="380"/>
      <c r="AA624" s="380"/>
      <c r="AB624" s="380"/>
      <c r="AC624" s="380"/>
      <c r="AD624" s="671"/>
      <c r="AE624" s="380"/>
      <c r="AF624" s="380"/>
      <c r="AG624" s="380"/>
      <c r="AH624" s="671"/>
      <c r="AI624" s="380"/>
      <c r="AJ624" s="583"/>
      <c r="AK624" s="583"/>
      <c r="AL624" s="511"/>
      <c r="AM624" s="584"/>
      <c r="AN624" s="584"/>
      <c r="AO624" s="584"/>
      <c r="AP624" s="671"/>
      <c r="AQ624" s="584"/>
      <c r="AR624" s="583"/>
      <c r="AS624" s="583"/>
      <c r="AT624" s="585"/>
      <c r="AU624" s="585"/>
      <c r="AV624" s="585"/>
      <c r="AW624" s="585"/>
      <c r="AX624" s="673"/>
      <c r="AY624" s="380"/>
      <c r="AZ624" s="380"/>
      <c r="BA624" s="380"/>
      <c r="BB624" s="380"/>
      <c r="BC624" s="380"/>
      <c r="BD624" s="380"/>
      <c r="BE624" s="380"/>
      <c r="BF624" s="380"/>
      <c r="BG624" s="380"/>
      <c r="BH624" s="380"/>
      <c r="BI624" s="511"/>
      <c r="BJ624" s="380"/>
      <c r="BK624" s="380"/>
      <c r="BL624" s="380"/>
      <c r="BM624" s="380"/>
      <c r="BN624" s="380"/>
      <c r="BO624" s="380"/>
      <c r="BP624" s="380"/>
      <c r="BQ624" s="380"/>
      <c r="BR624" s="380"/>
    </row>
    <row r="625" spans="1:70" ht="12.75" customHeight="1" x14ac:dyDescent="0.25">
      <c r="A625" s="380"/>
      <c r="B625" s="380"/>
      <c r="C625" s="380"/>
      <c r="D625" s="380"/>
      <c r="E625" s="511"/>
      <c r="F625" s="511"/>
      <c r="G625" s="582"/>
      <c r="H625" s="511"/>
      <c r="I625" s="511"/>
      <c r="J625" s="582"/>
      <c r="K625" s="511"/>
      <c r="L625" s="511"/>
      <c r="M625" s="582"/>
      <c r="N625" s="582"/>
      <c r="O625" s="582"/>
      <c r="P625" s="582"/>
      <c r="Q625" s="511"/>
      <c r="R625" s="511"/>
      <c r="S625" s="511"/>
      <c r="T625" s="639"/>
      <c r="U625" s="511"/>
      <c r="V625" s="511"/>
      <c r="W625" s="511"/>
      <c r="X625" s="511"/>
      <c r="Y625" s="380"/>
      <c r="Z625" s="380"/>
      <c r="AA625" s="380"/>
      <c r="AB625" s="380"/>
      <c r="AC625" s="380"/>
      <c r="AD625" s="671"/>
      <c r="AE625" s="380"/>
      <c r="AF625" s="380"/>
      <c r="AG625" s="380"/>
      <c r="AH625" s="671"/>
      <c r="AI625" s="380"/>
      <c r="AJ625" s="583"/>
      <c r="AK625" s="583"/>
      <c r="AL625" s="511"/>
      <c r="AM625" s="584"/>
      <c r="AN625" s="584"/>
      <c r="AO625" s="584"/>
      <c r="AP625" s="671"/>
      <c r="AQ625" s="584"/>
      <c r="AR625" s="583"/>
      <c r="AS625" s="583"/>
      <c r="AT625" s="585"/>
      <c r="AU625" s="585"/>
      <c r="AV625" s="585"/>
      <c r="AW625" s="585"/>
      <c r="AX625" s="673"/>
      <c r="AY625" s="380"/>
      <c r="AZ625" s="380"/>
      <c r="BA625" s="380"/>
      <c r="BB625" s="380"/>
      <c r="BC625" s="380"/>
      <c r="BD625" s="380"/>
      <c r="BE625" s="380"/>
      <c r="BF625" s="380"/>
      <c r="BG625" s="380"/>
      <c r="BH625" s="380"/>
      <c r="BI625" s="511"/>
      <c r="BJ625" s="380"/>
      <c r="BK625" s="380"/>
      <c r="BL625" s="380"/>
      <c r="BM625" s="380"/>
      <c r="BN625" s="380"/>
      <c r="BO625" s="380"/>
      <c r="BP625" s="380"/>
      <c r="BQ625" s="380"/>
      <c r="BR625" s="380"/>
    </row>
    <row r="626" spans="1:70" ht="12.75" customHeight="1" x14ac:dyDescent="0.25">
      <c r="A626" s="380"/>
      <c r="B626" s="380"/>
      <c r="C626" s="380"/>
      <c r="D626" s="380"/>
      <c r="E626" s="511"/>
      <c r="F626" s="511"/>
      <c r="G626" s="582"/>
      <c r="H626" s="511"/>
      <c r="I626" s="511"/>
      <c r="J626" s="582"/>
      <c r="K626" s="511"/>
      <c r="L626" s="511"/>
      <c r="M626" s="582"/>
      <c r="N626" s="582"/>
      <c r="O626" s="582"/>
      <c r="P626" s="582"/>
      <c r="Q626" s="511"/>
      <c r="R626" s="511"/>
      <c r="S626" s="511"/>
      <c r="T626" s="639"/>
      <c r="U626" s="511"/>
      <c r="V626" s="511"/>
      <c r="W626" s="511"/>
      <c r="X626" s="511"/>
      <c r="Y626" s="380"/>
      <c r="Z626" s="380"/>
      <c r="AA626" s="380"/>
      <c r="AB626" s="380"/>
      <c r="AC626" s="380"/>
      <c r="AD626" s="671"/>
      <c r="AE626" s="380"/>
      <c r="AF626" s="380"/>
      <c r="AG626" s="380"/>
      <c r="AH626" s="671"/>
      <c r="AI626" s="380"/>
      <c r="AJ626" s="583"/>
      <c r="AK626" s="583"/>
      <c r="AL626" s="511"/>
      <c r="AM626" s="584"/>
      <c r="AN626" s="584"/>
      <c r="AO626" s="584"/>
      <c r="AP626" s="671"/>
      <c r="AQ626" s="584"/>
      <c r="AR626" s="583"/>
      <c r="AS626" s="583"/>
      <c r="AT626" s="585"/>
      <c r="AU626" s="585"/>
      <c r="AV626" s="585"/>
      <c r="AW626" s="585"/>
      <c r="AX626" s="673"/>
      <c r="AY626" s="380"/>
      <c r="AZ626" s="380"/>
      <c r="BA626" s="380"/>
      <c r="BB626" s="380"/>
      <c r="BC626" s="380"/>
      <c r="BD626" s="380"/>
      <c r="BE626" s="380"/>
      <c r="BF626" s="380"/>
      <c r="BG626" s="380"/>
      <c r="BH626" s="380"/>
      <c r="BI626" s="511"/>
      <c r="BJ626" s="380"/>
      <c r="BK626" s="380"/>
      <c r="BL626" s="380"/>
      <c r="BM626" s="380"/>
      <c r="BN626" s="380"/>
      <c r="BO626" s="380"/>
      <c r="BP626" s="380"/>
      <c r="BQ626" s="380"/>
      <c r="BR626" s="380"/>
    </row>
    <row r="627" spans="1:70" ht="12.75" customHeight="1" x14ac:dyDescent="0.25">
      <c r="A627" s="380"/>
      <c r="B627" s="380"/>
      <c r="C627" s="380"/>
      <c r="D627" s="380"/>
      <c r="E627" s="511"/>
      <c r="F627" s="511"/>
      <c r="G627" s="582"/>
      <c r="H627" s="511"/>
      <c r="I627" s="511"/>
      <c r="J627" s="582"/>
      <c r="K627" s="511"/>
      <c r="L627" s="511"/>
      <c r="M627" s="582"/>
      <c r="N627" s="582"/>
      <c r="O627" s="582"/>
      <c r="P627" s="582"/>
      <c r="Q627" s="511"/>
      <c r="R627" s="511"/>
      <c r="S627" s="511"/>
      <c r="T627" s="639"/>
      <c r="U627" s="511"/>
      <c r="V627" s="511"/>
      <c r="W627" s="511"/>
      <c r="X627" s="511"/>
      <c r="Y627" s="380"/>
      <c r="Z627" s="380"/>
      <c r="AA627" s="380"/>
      <c r="AB627" s="380"/>
      <c r="AC627" s="380"/>
      <c r="AD627" s="671"/>
      <c r="AE627" s="380"/>
      <c r="AF627" s="380"/>
      <c r="AG627" s="380"/>
      <c r="AH627" s="671"/>
      <c r="AI627" s="380"/>
      <c r="AJ627" s="583"/>
      <c r="AK627" s="583"/>
      <c r="AL627" s="511"/>
      <c r="AM627" s="584"/>
      <c r="AN627" s="584"/>
      <c r="AO627" s="584"/>
      <c r="AP627" s="671"/>
      <c r="AQ627" s="584"/>
      <c r="AR627" s="583"/>
      <c r="AS627" s="583"/>
      <c r="AT627" s="585"/>
      <c r="AU627" s="585"/>
      <c r="AV627" s="585"/>
      <c r="AW627" s="585"/>
      <c r="AX627" s="673"/>
      <c r="AY627" s="380"/>
      <c r="AZ627" s="380"/>
      <c r="BA627" s="380"/>
      <c r="BB627" s="380"/>
      <c r="BC627" s="380"/>
      <c r="BD627" s="380"/>
      <c r="BE627" s="380"/>
      <c r="BF627" s="380"/>
      <c r="BG627" s="380"/>
      <c r="BH627" s="380"/>
      <c r="BI627" s="511"/>
      <c r="BJ627" s="380"/>
      <c r="BK627" s="380"/>
      <c r="BL627" s="380"/>
      <c r="BM627" s="380"/>
      <c r="BN627" s="380"/>
      <c r="BO627" s="380"/>
      <c r="BP627" s="380"/>
      <c r="BQ627" s="380"/>
      <c r="BR627" s="380"/>
    </row>
    <row r="628" spans="1:70" ht="12.75" customHeight="1" x14ac:dyDescent="0.25">
      <c r="A628" s="380"/>
      <c r="B628" s="380"/>
      <c r="C628" s="380"/>
      <c r="D628" s="380"/>
      <c r="E628" s="511"/>
      <c r="F628" s="511"/>
      <c r="G628" s="582"/>
      <c r="H628" s="511"/>
      <c r="I628" s="511"/>
      <c r="J628" s="582"/>
      <c r="K628" s="511"/>
      <c r="L628" s="511"/>
      <c r="M628" s="582"/>
      <c r="N628" s="582"/>
      <c r="O628" s="582"/>
      <c r="P628" s="582"/>
      <c r="Q628" s="511"/>
      <c r="R628" s="511"/>
      <c r="S628" s="511"/>
      <c r="T628" s="639"/>
      <c r="U628" s="511"/>
      <c r="V628" s="511"/>
      <c r="W628" s="511"/>
      <c r="X628" s="511"/>
      <c r="Y628" s="380"/>
      <c r="Z628" s="380"/>
      <c r="AA628" s="380"/>
      <c r="AB628" s="380"/>
      <c r="AC628" s="380"/>
      <c r="AD628" s="671"/>
      <c r="AE628" s="380"/>
      <c r="AF628" s="380"/>
      <c r="AG628" s="380"/>
      <c r="AH628" s="671"/>
      <c r="AI628" s="380"/>
      <c r="AJ628" s="583"/>
      <c r="AK628" s="583"/>
      <c r="AL628" s="511"/>
      <c r="AM628" s="584"/>
      <c r="AN628" s="584"/>
      <c r="AO628" s="584"/>
      <c r="AP628" s="671"/>
      <c r="AQ628" s="584"/>
      <c r="AR628" s="583"/>
      <c r="AS628" s="583"/>
      <c r="AT628" s="585"/>
      <c r="AU628" s="585"/>
      <c r="AV628" s="585"/>
      <c r="AW628" s="585"/>
      <c r="AX628" s="673"/>
      <c r="AY628" s="380"/>
      <c r="AZ628" s="380"/>
      <c r="BA628" s="380"/>
      <c r="BB628" s="380"/>
      <c r="BC628" s="380"/>
      <c r="BD628" s="380"/>
      <c r="BE628" s="380"/>
      <c r="BF628" s="380"/>
      <c r="BG628" s="380"/>
      <c r="BH628" s="380"/>
      <c r="BI628" s="511"/>
      <c r="BJ628" s="380"/>
      <c r="BK628" s="380"/>
      <c r="BL628" s="380"/>
      <c r="BM628" s="380"/>
      <c r="BN628" s="380"/>
      <c r="BO628" s="380"/>
      <c r="BP628" s="380"/>
      <c r="BQ628" s="380"/>
      <c r="BR628" s="380"/>
    </row>
    <row r="629" spans="1:70" ht="12.75" customHeight="1" x14ac:dyDescent="0.25">
      <c r="A629" s="380"/>
      <c r="B629" s="380"/>
      <c r="C629" s="380"/>
      <c r="D629" s="380"/>
      <c r="E629" s="511"/>
      <c r="F629" s="511"/>
      <c r="G629" s="582"/>
      <c r="H629" s="511"/>
      <c r="I629" s="511"/>
      <c r="J629" s="582"/>
      <c r="K629" s="511"/>
      <c r="L629" s="511"/>
      <c r="M629" s="582"/>
      <c r="N629" s="582"/>
      <c r="O629" s="582"/>
      <c r="P629" s="582"/>
      <c r="Q629" s="511"/>
      <c r="R629" s="511"/>
      <c r="S629" s="511"/>
      <c r="T629" s="639"/>
      <c r="U629" s="511"/>
      <c r="V629" s="511"/>
      <c r="W629" s="511"/>
      <c r="X629" s="511"/>
      <c r="Y629" s="380"/>
      <c r="Z629" s="380"/>
      <c r="AA629" s="380"/>
      <c r="AB629" s="380"/>
      <c r="AC629" s="380"/>
      <c r="AD629" s="671"/>
      <c r="AE629" s="380"/>
      <c r="AF629" s="380"/>
      <c r="AG629" s="380"/>
      <c r="AH629" s="671"/>
      <c r="AI629" s="380"/>
      <c r="AJ629" s="583"/>
      <c r="AK629" s="583"/>
      <c r="AL629" s="511"/>
      <c r="AM629" s="584"/>
      <c r="AN629" s="584"/>
      <c r="AO629" s="584"/>
      <c r="AP629" s="671"/>
      <c r="AQ629" s="584"/>
      <c r="AR629" s="583"/>
      <c r="AS629" s="583"/>
      <c r="AT629" s="585"/>
      <c r="AU629" s="585"/>
      <c r="AV629" s="585"/>
      <c r="AW629" s="585"/>
      <c r="AX629" s="673"/>
      <c r="AY629" s="380"/>
      <c r="AZ629" s="380"/>
      <c r="BA629" s="380"/>
      <c r="BB629" s="380"/>
      <c r="BC629" s="380"/>
      <c r="BD629" s="380"/>
      <c r="BE629" s="380"/>
      <c r="BF629" s="380"/>
      <c r="BG629" s="380"/>
      <c r="BH629" s="380"/>
      <c r="BI629" s="511"/>
      <c r="BJ629" s="380"/>
      <c r="BK629" s="380"/>
      <c r="BL629" s="380"/>
      <c r="BM629" s="380"/>
      <c r="BN629" s="380"/>
      <c r="BO629" s="380"/>
      <c r="BP629" s="380"/>
      <c r="BQ629" s="380"/>
      <c r="BR629" s="380"/>
    </row>
    <row r="630" spans="1:70" ht="12.75" customHeight="1" x14ac:dyDescent="0.25">
      <c r="A630" s="380"/>
      <c r="B630" s="380"/>
      <c r="C630" s="380"/>
      <c r="D630" s="380"/>
      <c r="E630" s="511"/>
      <c r="F630" s="511"/>
      <c r="G630" s="582"/>
      <c r="H630" s="511"/>
      <c r="I630" s="511"/>
      <c r="J630" s="582"/>
      <c r="K630" s="511"/>
      <c r="L630" s="511"/>
      <c r="M630" s="582"/>
      <c r="N630" s="582"/>
      <c r="O630" s="582"/>
      <c r="P630" s="582"/>
      <c r="Q630" s="511"/>
      <c r="R630" s="511"/>
      <c r="S630" s="511"/>
      <c r="T630" s="639"/>
      <c r="U630" s="511"/>
      <c r="V630" s="511"/>
      <c r="W630" s="511"/>
      <c r="X630" s="511"/>
      <c r="Y630" s="380"/>
      <c r="Z630" s="380"/>
      <c r="AA630" s="380"/>
      <c r="AB630" s="380"/>
      <c r="AC630" s="380"/>
      <c r="AD630" s="671"/>
      <c r="AE630" s="380"/>
      <c r="AF630" s="380"/>
      <c r="AG630" s="380"/>
      <c r="AH630" s="671"/>
      <c r="AI630" s="380"/>
      <c r="AJ630" s="583"/>
      <c r="AK630" s="583"/>
      <c r="AL630" s="511"/>
      <c r="AM630" s="584"/>
      <c r="AN630" s="584"/>
      <c r="AO630" s="584"/>
      <c r="AP630" s="671"/>
      <c r="AQ630" s="584"/>
      <c r="AR630" s="583"/>
      <c r="AS630" s="583"/>
      <c r="AT630" s="585"/>
      <c r="AU630" s="585"/>
      <c r="AV630" s="585"/>
      <c r="AW630" s="585"/>
      <c r="AX630" s="673"/>
      <c r="AY630" s="380"/>
      <c r="AZ630" s="380"/>
      <c r="BA630" s="380"/>
      <c r="BB630" s="380"/>
      <c r="BC630" s="380"/>
      <c r="BD630" s="380"/>
      <c r="BE630" s="380"/>
      <c r="BF630" s="380"/>
      <c r="BG630" s="380"/>
      <c r="BH630" s="380"/>
      <c r="BI630" s="511"/>
      <c r="BJ630" s="380"/>
      <c r="BK630" s="380"/>
      <c r="BL630" s="380"/>
      <c r="BM630" s="380"/>
      <c r="BN630" s="380"/>
      <c r="BO630" s="380"/>
      <c r="BP630" s="380"/>
      <c r="BQ630" s="380"/>
      <c r="BR630" s="380"/>
    </row>
    <row r="631" spans="1:70" ht="12.75" customHeight="1" x14ac:dyDescent="0.25">
      <c r="A631" s="380"/>
      <c r="B631" s="380"/>
      <c r="C631" s="380"/>
      <c r="D631" s="380"/>
      <c r="E631" s="511"/>
      <c r="F631" s="511"/>
      <c r="G631" s="582"/>
      <c r="H631" s="511"/>
      <c r="I631" s="511"/>
      <c r="J631" s="582"/>
      <c r="K631" s="511"/>
      <c r="L631" s="511"/>
      <c r="M631" s="582"/>
      <c r="N631" s="582"/>
      <c r="O631" s="582"/>
      <c r="P631" s="582"/>
      <c r="Q631" s="511"/>
      <c r="R631" s="511"/>
      <c r="S631" s="511"/>
      <c r="T631" s="639"/>
      <c r="U631" s="511"/>
      <c r="V631" s="511"/>
      <c r="W631" s="511"/>
      <c r="X631" s="511"/>
      <c r="Y631" s="380"/>
      <c r="Z631" s="380"/>
      <c r="AA631" s="380"/>
      <c r="AB631" s="380"/>
      <c r="AC631" s="380"/>
      <c r="AD631" s="671"/>
      <c r="AE631" s="380"/>
      <c r="AF631" s="380"/>
      <c r="AG631" s="380"/>
      <c r="AH631" s="671"/>
      <c r="AI631" s="380"/>
      <c r="AJ631" s="583"/>
      <c r="AK631" s="583"/>
      <c r="AL631" s="511"/>
      <c r="AM631" s="584"/>
      <c r="AN631" s="584"/>
      <c r="AO631" s="584"/>
      <c r="AP631" s="671"/>
      <c r="AQ631" s="584"/>
      <c r="AR631" s="583"/>
      <c r="AS631" s="583"/>
      <c r="AT631" s="585"/>
      <c r="AU631" s="585"/>
      <c r="AV631" s="585"/>
      <c r="AW631" s="585"/>
      <c r="AX631" s="673"/>
      <c r="AY631" s="380"/>
      <c r="AZ631" s="380"/>
      <c r="BA631" s="380"/>
      <c r="BB631" s="380"/>
      <c r="BC631" s="380"/>
      <c r="BD631" s="380"/>
      <c r="BE631" s="380"/>
      <c r="BF631" s="380"/>
      <c r="BG631" s="380"/>
      <c r="BH631" s="380"/>
      <c r="BI631" s="511"/>
      <c r="BJ631" s="380"/>
      <c r="BK631" s="380"/>
      <c r="BL631" s="380"/>
      <c r="BM631" s="380"/>
      <c r="BN631" s="380"/>
      <c r="BO631" s="380"/>
      <c r="BP631" s="380"/>
      <c r="BQ631" s="380"/>
      <c r="BR631" s="380"/>
    </row>
    <row r="632" spans="1:70" ht="12.75" customHeight="1" x14ac:dyDescent="0.25">
      <c r="A632" s="380"/>
      <c r="B632" s="380"/>
      <c r="C632" s="380"/>
      <c r="D632" s="380"/>
      <c r="E632" s="511"/>
      <c r="F632" s="511"/>
      <c r="G632" s="582"/>
      <c r="H632" s="511"/>
      <c r="I632" s="511"/>
      <c r="J632" s="582"/>
      <c r="K632" s="511"/>
      <c r="L632" s="511"/>
      <c r="M632" s="582"/>
      <c r="N632" s="582"/>
      <c r="O632" s="582"/>
      <c r="P632" s="582"/>
      <c r="Q632" s="511"/>
      <c r="R632" s="511"/>
      <c r="S632" s="511"/>
      <c r="T632" s="639"/>
      <c r="U632" s="511"/>
      <c r="V632" s="511"/>
      <c r="W632" s="511"/>
      <c r="X632" s="511"/>
      <c r="Y632" s="380"/>
      <c r="Z632" s="380"/>
      <c r="AA632" s="380"/>
      <c r="AB632" s="380"/>
      <c r="AC632" s="380"/>
      <c r="AD632" s="671"/>
      <c r="AE632" s="380"/>
      <c r="AF632" s="380"/>
      <c r="AG632" s="380"/>
      <c r="AH632" s="671"/>
      <c r="AI632" s="380"/>
      <c r="AJ632" s="583"/>
      <c r="AK632" s="583"/>
      <c r="AL632" s="511"/>
      <c r="AM632" s="584"/>
      <c r="AN632" s="584"/>
      <c r="AO632" s="584"/>
      <c r="AP632" s="671"/>
      <c r="AQ632" s="584"/>
      <c r="AR632" s="583"/>
      <c r="AS632" s="583"/>
      <c r="AT632" s="585"/>
      <c r="AU632" s="585"/>
      <c r="AV632" s="585"/>
      <c r="AW632" s="585"/>
      <c r="AX632" s="673"/>
      <c r="AY632" s="380"/>
      <c r="AZ632" s="380"/>
      <c r="BA632" s="380"/>
      <c r="BB632" s="380"/>
      <c r="BC632" s="380"/>
      <c r="BD632" s="380"/>
      <c r="BE632" s="380"/>
      <c r="BF632" s="380"/>
      <c r="BG632" s="380"/>
      <c r="BH632" s="380"/>
      <c r="BI632" s="511"/>
      <c r="BJ632" s="380"/>
      <c r="BK632" s="380"/>
      <c r="BL632" s="380"/>
      <c r="BM632" s="380"/>
      <c r="BN632" s="380"/>
      <c r="BO632" s="380"/>
      <c r="BP632" s="380"/>
      <c r="BQ632" s="380"/>
      <c r="BR632" s="380"/>
    </row>
    <row r="633" spans="1:70" ht="12.75" customHeight="1" x14ac:dyDescent="0.25">
      <c r="A633" s="380"/>
      <c r="B633" s="380"/>
      <c r="C633" s="380"/>
      <c r="D633" s="380"/>
      <c r="E633" s="511"/>
      <c r="F633" s="511"/>
      <c r="G633" s="582"/>
      <c r="H633" s="511"/>
      <c r="I633" s="511"/>
      <c r="J633" s="582"/>
      <c r="K633" s="511"/>
      <c r="L633" s="511"/>
      <c r="M633" s="582"/>
      <c r="N633" s="582"/>
      <c r="O633" s="582"/>
      <c r="P633" s="582"/>
      <c r="Q633" s="511"/>
      <c r="R633" s="511"/>
      <c r="S633" s="511"/>
      <c r="T633" s="639"/>
      <c r="U633" s="511"/>
      <c r="V633" s="511"/>
      <c r="W633" s="511"/>
      <c r="X633" s="511"/>
      <c r="Y633" s="380"/>
      <c r="Z633" s="380"/>
      <c r="AA633" s="380"/>
      <c r="AB633" s="380"/>
      <c r="AC633" s="380"/>
      <c r="AD633" s="671"/>
      <c r="AE633" s="380"/>
      <c r="AF633" s="380"/>
      <c r="AG633" s="380"/>
      <c r="AH633" s="671"/>
      <c r="AI633" s="380"/>
      <c r="AJ633" s="583"/>
      <c r="AK633" s="583"/>
      <c r="AL633" s="511"/>
      <c r="AM633" s="584"/>
      <c r="AN633" s="584"/>
      <c r="AO633" s="584"/>
      <c r="AP633" s="671"/>
      <c r="AQ633" s="584"/>
      <c r="AR633" s="583"/>
      <c r="AS633" s="583"/>
      <c r="AT633" s="585"/>
      <c r="AU633" s="585"/>
      <c r="AV633" s="585"/>
      <c r="AW633" s="585"/>
      <c r="AX633" s="673"/>
      <c r="AY633" s="380"/>
      <c r="AZ633" s="380"/>
      <c r="BA633" s="380"/>
      <c r="BB633" s="380"/>
      <c r="BC633" s="380"/>
      <c r="BD633" s="380"/>
      <c r="BE633" s="380"/>
      <c r="BF633" s="380"/>
      <c r="BG633" s="380"/>
      <c r="BH633" s="380"/>
      <c r="BI633" s="511"/>
      <c r="BJ633" s="380"/>
      <c r="BK633" s="380"/>
      <c r="BL633" s="380"/>
      <c r="BM633" s="380"/>
      <c r="BN633" s="380"/>
      <c r="BO633" s="380"/>
      <c r="BP633" s="380"/>
      <c r="BQ633" s="380"/>
      <c r="BR633" s="380"/>
    </row>
    <row r="634" spans="1:70" ht="12.75" customHeight="1" x14ac:dyDescent="0.25">
      <c r="A634" s="380"/>
      <c r="B634" s="380"/>
      <c r="C634" s="380"/>
      <c r="D634" s="380"/>
      <c r="E634" s="511"/>
      <c r="F634" s="511"/>
      <c r="G634" s="582"/>
      <c r="H634" s="511"/>
      <c r="I634" s="511"/>
      <c r="J634" s="582"/>
      <c r="K634" s="511"/>
      <c r="L634" s="511"/>
      <c r="M634" s="582"/>
      <c r="N634" s="582"/>
      <c r="O634" s="582"/>
      <c r="P634" s="582"/>
      <c r="Q634" s="511"/>
      <c r="R634" s="511"/>
      <c r="S634" s="511"/>
      <c r="T634" s="639"/>
      <c r="U634" s="511"/>
      <c r="V634" s="511"/>
      <c r="W634" s="511"/>
      <c r="X634" s="511"/>
      <c r="Y634" s="380"/>
      <c r="Z634" s="380"/>
      <c r="AA634" s="380"/>
      <c r="AB634" s="380"/>
      <c r="AC634" s="380"/>
      <c r="AD634" s="671"/>
      <c r="AE634" s="380"/>
      <c r="AF634" s="380"/>
      <c r="AG634" s="380"/>
      <c r="AH634" s="671"/>
      <c r="AI634" s="380"/>
      <c r="AJ634" s="583"/>
      <c r="AK634" s="583"/>
      <c r="AL634" s="511"/>
      <c r="AM634" s="584"/>
      <c r="AN634" s="584"/>
      <c r="AO634" s="584"/>
      <c r="AP634" s="671"/>
      <c r="AQ634" s="584"/>
      <c r="AR634" s="583"/>
      <c r="AS634" s="583"/>
      <c r="AT634" s="585"/>
      <c r="AU634" s="585"/>
      <c r="AV634" s="585"/>
      <c r="AW634" s="585"/>
      <c r="AX634" s="673"/>
      <c r="AY634" s="380"/>
      <c r="AZ634" s="380"/>
      <c r="BA634" s="380"/>
      <c r="BB634" s="380"/>
      <c r="BC634" s="380"/>
      <c r="BD634" s="380"/>
      <c r="BE634" s="380"/>
      <c r="BF634" s="380"/>
      <c r="BG634" s="380"/>
      <c r="BH634" s="380"/>
      <c r="BI634" s="511"/>
      <c r="BJ634" s="380"/>
      <c r="BK634" s="380"/>
      <c r="BL634" s="380"/>
      <c r="BM634" s="380"/>
      <c r="BN634" s="380"/>
      <c r="BO634" s="380"/>
      <c r="BP634" s="380"/>
      <c r="BQ634" s="380"/>
      <c r="BR634" s="380"/>
    </row>
    <row r="635" spans="1:70" ht="12.75" customHeight="1" x14ac:dyDescent="0.25">
      <c r="A635" s="380"/>
      <c r="B635" s="380"/>
      <c r="C635" s="380"/>
      <c r="D635" s="380"/>
      <c r="E635" s="511"/>
      <c r="F635" s="511"/>
      <c r="G635" s="582"/>
      <c r="H635" s="511"/>
      <c r="I635" s="511"/>
      <c r="J635" s="582"/>
      <c r="K635" s="511"/>
      <c r="L635" s="511"/>
      <c r="M635" s="582"/>
      <c r="N635" s="582"/>
      <c r="O635" s="582"/>
      <c r="P635" s="582"/>
      <c r="Q635" s="511"/>
      <c r="R635" s="511"/>
      <c r="S635" s="511"/>
      <c r="T635" s="639"/>
      <c r="U635" s="511"/>
      <c r="V635" s="511"/>
      <c r="W635" s="511"/>
      <c r="X635" s="511"/>
      <c r="Y635" s="380"/>
      <c r="Z635" s="380"/>
      <c r="AA635" s="380"/>
      <c r="AB635" s="380"/>
      <c r="AC635" s="380"/>
      <c r="AD635" s="671"/>
      <c r="AE635" s="380"/>
      <c r="AF635" s="380"/>
      <c r="AG635" s="380"/>
      <c r="AH635" s="671"/>
      <c r="AI635" s="380"/>
      <c r="AJ635" s="583"/>
      <c r="AK635" s="583"/>
      <c r="AL635" s="511"/>
      <c r="AM635" s="584"/>
      <c r="AN635" s="584"/>
      <c r="AO635" s="584"/>
      <c r="AP635" s="671"/>
      <c r="AQ635" s="584"/>
      <c r="AR635" s="583"/>
      <c r="AS635" s="583"/>
      <c r="AT635" s="585"/>
      <c r="AU635" s="585"/>
      <c r="AV635" s="585"/>
      <c r="AW635" s="585"/>
      <c r="AX635" s="673"/>
      <c r="AY635" s="380"/>
      <c r="AZ635" s="380"/>
      <c r="BA635" s="380"/>
      <c r="BB635" s="380"/>
      <c r="BC635" s="380"/>
      <c r="BD635" s="380"/>
      <c r="BE635" s="380"/>
      <c r="BF635" s="380"/>
      <c r="BG635" s="380"/>
      <c r="BH635" s="380"/>
      <c r="BI635" s="511"/>
      <c r="BJ635" s="380"/>
      <c r="BK635" s="380"/>
      <c r="BL635" s="380"/>
      <c r="BM635" s="380"/>
      <c r="BN635" s="380"/>
      <c r="BO635" s="380"/>
      <c r="BP635" s="380"/>
      <c r="BQ635" s="380"/>
      <c r="BR635" s="380"/>
    </row>
    <row r="636" spans="1:70" ht="12.75" customHeight="1" x14ac:dyDescent="0.25">
      <c r="A636" s="380"/>
      <c r="B636" s="380"/>
      <c r="C636" s="380"/>
      <c r="D636" s="380"/>
      <c r="E636" s="511"/>
      <c r="F636" s="511"/>
      <c r="G636" s="582"/>
      <c r="H636" s="511"/>
      <c r="I636" s="511"/>
      <c r="J636" s="582"/>
      <c r="K636" s="511"/>
      <c r="L636" s="511"/>
      <c r="M636" s="582"/>
      <c r="N636" s="582"/>
      <c r="O636" s="582"/>
      <c r="P636" s="582"/>
      <c r="Q636" s="511"/>
      <c r="R636" s="511"/>
      <c r="S636" s="511"/>
      <c r="T636" s="639"/>
      <c r="U636" s="511"/>
      <c r="V636" s="511"/>
      <c r="W636" s="511"/>
      <c r="X636" s="511"/>
      <c r="Y636" s="380"/>
      <c r="Z636" s="380"/>
      <c r="AA636" s="380"/>
      <c r="AB636" s="380"/>
      <c r="AC636" s="380"/>
      <c r="AD636" s="671"/>
      <c r="AE636" s="380"/>
      <c r="AF636" s="380"/>
      <c r="AG636" s="380"/>
      <c r="AH636" s="671"/>
      <c r="AI636" s="380"/>
      <c r="AJ636" s="583"/>
      <c r="AK636" s="583"/>
      <c r="AL636" s="511"/>
      <c r="AM636" s="584"/>
      <c r="AN636" s="584"/>
      <c r="AO636" s="584"/>
      <c r="AP636" s="671"/>
      <c r="AQ636" s="584"/>
      <c r="AR636" s="583"/>
      <c r="AS636" s="583"/>
      <c r="AT636" s="585"/>
      <c r="AU636" s="585"/>
      <c r="AV636" s="585"/>
      <c r="AW636" s="585"/>
      <c r="AX636" s="673"/>
      <c r="AY636" s="380"/>
      <c r="AZ636" s="380"/>
      <c r="BA636" s="380"/>
      <c r="BB636" s="380"/>
      <c r="BC636" s="380"/>
      <c r="BD636" s="380"/>
      <c r="BE636" s="380"/>
      <c r="BF636" s="380"/>
      <c r="BG636" s="380"/>
      <c r="BH636" s="380"/>
      <c r="BI636" s="511"/>
      <c r="BJ636" s="380"/>
      <c r="BK636" s="380"/>
      <c r="BL636" s="380"/>
      <c r="BM636" s="380"/>
      <c r="BN636" s="380"/>
      <c r="BO636" s="380"/>
      <c r="BP636" s="380"/>
      <c r="BQ636" s="380"/>
      <c r="BR636" s="380"/>
    </row>
    <row r="637" spans="1:70" ht="12.75" customHeight="1" x14ac:dyDescent="0.25">
      <c r="A637" s="380"/>
      <c r="B637" s="380"/>
      <c r="C637" s="380"/>
      <c r="D637" s="380"/>
      <c r="E637" s="511"/>
      <c r="F637" s="511"/>
      <c r="G637" s="582"/>
      <c r="H637" s="511"/>
      <c r="I637" s="511"/>
      <c r="J637" s="582"/>
      <c r="K637" s="511"/>
      <c r="L637" s="511"/>
      <c r="M637" s="582"/>
      <c r="N637" s="582"/>
      <c r="O637" s="582"/>
      <c r="P637" s="582"/>
      <c r="Q637" s="511"/>
      <c r="R637" s="511"/>
      <c r="S637" s="511"/>
      <c r="T637" s="639"/>
      <c r="U637" s="511"/>
      <c r="V637" s="511"/>
      <c r="W637" s="511"/>
      <c r="X637" s="511"/>
      <c r="Y637" s="380"/>
      <c r="Z637" s="380"/>
      <c r="AA637" s="380"/>
      <c r="AB637" s="380"/>
      <c r="AC637" s="380"/>
      <c r="AD637" s="671"/>
      <c r="AE637" s="380"/>
      <c r="AF637" s="380"/>
      <c r="AG637" s="380"/>
      <c r="AH637" s="671"/>
      <c r="AI637" s="380"/>
      <c r="AJ637" s="583"/>
      <c r="AK637" s="583"/>
      <c r="AL637" s="511"/>
      <c r="AM637" s="584"/>
      <c r="AN637" s="584"/>
      <c r="AO637" s="584"/>
      <c r="AP637" s="671"/>
      <c r="AQ637" s="584"/>
      <c r="AR637" s="583"/>
      <c r="AS637" s="583"/>
      <c r="AT637" s="585"/>
      <c r="AU637" s="585"/>
      <c r="AV637" s="585"/>
      <c r="AW637" s="585"/>
      <c r="AX637" s="673"/>
      <c r="AY637" s="380"/>
      <c r="AZ637" s="380"/>
      <c r="BA637" s="380"/>
      <c r="BB637" s="380"/>
      <c r="BC637" s="380"/>
      <c r="BD637" s="380"/>
      <c r="BE637" s="380"/>
      <c r="BF637" s="380"/>
      <c r="BG637" s="380"/>
      <c r="BH637" s="380"/>
      <c r="BI637" s="511"/>
      <c r="BJ637" s="380"/>
      <c r="BK637" s="380"/>
      <c r="BL637" s="380"/>
      <c r="BM637" s="380"/>
      <c r="BN637" s="380"/>
      <c r="BO637" s="380"/>
      <c r="BP637" s="380"/>
      <c r="BQ637" s="380"/>
      <c r="BR637" s="380"/>
    </row>
    <row r="638" spans="1:70" ht="12.75" customHeight="1" x14ac:dyDescent="0.25">
      <c r="A638" s="380"/>
      <c r="B638" s="380"/>
      <c r="C638" s="380"/>
      <c r="D638" s="380"/>
      <c r="E638" s="511"/>
      <c r="F638" s="511"/>
      <c r="G638" s="582"/>
      <c r="H638" s="511"/>
      <c r="I638" s="511"/>
      <c r="J638" s="582"/>
      <c r="K638" s="511"/>
      <c r="L638" s="511"/>
      <c r="M638" s="582"/>
      <c r="N638" s="582"/>
      <c r="O638" s="582"/>
      <c r="P638" s="582"/>
      <c r="Q638" s="511"/>
      <c r="R638" s="511"/>
      <c r="S638" s="511"/>
      <c r="T638" s="639"/>
      <c r="U638" s="511"/>
      <c r="V638" s="511"/>
      <c r="W638" s="511"/>
      <c r="X638" s="511"/>
      <c r="Y638" s="380"/>
      <c r="Z638" s="380"/>
      <c r="AA638" s="380"/>
      <c r="AB638" s="380"/>
      <c r="AC638" s="380"/>
      <c r="AD638" s="671"/>
      <c r="AE638" s="380"/>
      <c r="AF638" s="380"/>
      <c r="AG638" s="380"/>
      <c r="AH638" s="671"/>
      <c r="AI638" s="380"/>
      <c r="AJ638" s="583"/>
      <c r="AK638" s="583"/>
      <c r="AL638" s="511"/>
      <c r="AM638" s="584"/>
      <c r="AN638" s="584"/>
      <c r="AO638" s="584"/>
      <c r="AP638" s="671"/>
      <c r="AQ638" s="584"/>
      <c r="AR638" s="583"/>
      <c r="AS638" s="583"/>
      <c r="AT638" s="585"/>
      <c r="AU638" s="585"/>
      <c r="AV638" s="585"/>
      <c r="AW638" s="585"/>
      <c r="AX638" s="673"/>
      <c r="AY638" s="380"/>
      <c r="AZ638" s="380"/>
      <c r="BA638" s="380"/>
      <c r="BB638" s="380"/>
      <c r="BC638" s="380"/>
      <c r="BD638" s="380"/>
      <c r="BE638" s="380"/>
      <c r="BF638" s="380"/>
      <c r="BG638" s="380"/>
      <c r="BH638" s="380"/>
      <c r="BI638" s="511"/>
      <c r="BJ638" s="380"/>
      <c r="BK638" s="380"/>
      <c r="BL638" s="380"/>
      <c r="BM638" s="380"/>
      <c r="BN638" s="380"/>
      <c r="BO638" s="380"/>
      <c r="BP638" s="380"/>
      <c r="BQ638" s="380"/>
      <c r="BR638" s="380"/>
    </row>
    <row r="639" spans="1:70" ht="12.75" customHeight="1" x14ac:dyDescent="0.25">
      <c r="A639" s="380"/>
      <c r="B639" s="380"/>
      <c r="C639" s="380"/>
      <c r="D639" s="380"/>
      <c r="E639" s="511"/>
      <c r="F639" s="511"/>
      <c r="G639" s="582"/>
      <c r="H639" s="511"/>
      <c r="I639" s="511"/>
      <c r="J639" s="582"/>
      <c r="K639" s="511"/>
      <c r="L639" s="511"/>
      <c r="M639" s="582"/>
      <c r="N639" s="582"/>
      <c r="O639" s="582"/>
      <c r="P639" s="582"/>
      <c r="Q639" s="511"/>
      <c r="R639" s="511"/>
      <c r="S639" s="511"/>
      <c r="T639" s="639"/>
      <c r="U639" s="511"/>
      <c r="V639" s="511"/>
      <c r="W639" s="511"/>
      <c r="X639" s="511"/>
      <c r="Y639" s="380"/>
      <c r="Z639" s="380"/>
      <c r="AA639" s="380"/>
      <c r="AB639" s="380"/>
      <c r="AC639" s="380"/>
      <c r="AD639" s="671"/>
      <c r="AE639" s="380"/>
      <c r="AF639" s="380"/>
      <c r="AG639" s="380"/>
      <c r="AH639" s="671"/>
      <c r="AI639" s="380"/>
      <c r="AJ639" s="583"/>
      <c r="AK639" s="583"/>
      <c r="AL639" s="511"/>
      <c r="AM639" s="584"/>
      <c r="AN639" s="584"/>
      <c r="AO639" s="584"/>
      <c r="AP639" s="671"/>
      <c r="AQ639" s="584"/>
      <c r="AR639" s="583"/>
      <c r="AS639" s="583"/>
      <c r="AT639" s="585"/>
      <c r="AU639" s="585"/>
      <c r="AV639" s="585"/>
      <c r="AW639" s="585"/>
      <c r="AX639" s="673"/>
      <c r="AY639" s="380"/>
      <c r="AZ639" s="380"/>
      <c r="BA639" s="380"/>
      <c r="BB639" s="380"/>
      <c r="BC639" s="380"/>
      <c r="BD639" s="380"/>
      <c r="BE639" s="380"/>
      <c r="BF639" s="380"/>
      <c r="BG639" s="380"/>
      <c r="BH639" s="380"/>
      <c r="BI639" s="511"/>
      <c r="BJ639" s="380"/>
      <c r="BK639" s="380"/>
      <c r="BL639" s="380"/>
      <c r="BM639" s="380"/>
      <c r="BN639" s="380"/>
      <c r="BO639" s="380"/>
      <c r="BP639" s="380"/>
      <c r="BQ639" s="380"/>
      <c r="BR639" s="380"/>
    </row>
    <row r="640" spans="1:70" ht="12.75" customHeight="1" x14ac:dyDescent="0.25">
      <c r="A640" s="380"/>
      <c r="B640" s="380"/>
      <c r="C640" s="380"/>
      <c r="D640" s="380"/>
      <c r="E640" s="511"/>
      <c r="F640" s="511"/>
      <c r="G640" s="582"/>
      <c r="H640" s="511"/>
      <c r="I640" s="511"/>
      <c r="J640" s="582"/>
      <c r="K640" s="511"/>
      <c r="L640" s="511"/>
      <c r="M640" s="582"/>
      <c r="N640" s="582"/>
      <c r="O640" s="582"/>
      <c r="P640" s="582"/>
      <c r="Q640" s="511"/>
      <c r="R640" s="511"/>
      <c r="S640" s="511"/>
      <c r="T640" s="639"/>
      <c r="U640" s="511"/>
      <c r="V640" s="511"/>
      <c r="W640" s="511"/>
      <c r="X640" s="511"/>
      <c r="Y640" s="380"/>
      <c r="Z640" s="380"/>
      <c r="AA640" s="380"/>
      <c r="AB640" s="380"/>
      <c r="AC640" s="380"/>
      <c r="AD640" s="671"/>
      <c r="AE640" s="380"/>
      <c r="AF640" s="380"/>
      <c r="AG640" s="380"/>
      <c r="AH640" s="671"/>
      <c r="AI640" s="380"/>
      <c r="AJ640" s="583"/>
      <c r="AK640" s="583"/>
      <c r="AL640" s="511"/>
      <c r="AM640" s="584"/>
      <c r="AN640" s="584"/>
      <c r="AO640" s="584"/>
      <c r="AP640" s="671"/>
      <c r="AQ640" s="584"/>
      <c r="AR640" s="583"/>
      <c r="AS640" s="583"/>
      <c r="AT640" s="585"/>
      <c r="AU640" s="585"/>
      <c r="AV640" s="585"/>
      <c r="AW640" s="585"/>
      <c r="AX640" s="673"/>
      <c r="AY640" s="380"/>
      <c r="AZ640" s="380"/>
      <c r="BA640" s="380"/>
      <c r="BB640" s="380"/>
      <c r="BC640" s="380"/>
      <c r="BD640" s="380"/>
      <c r="BE640" s="380"/>
      <c r="BF640" s="380"/>
      <c r="BG640" s="380"/>
      <c r="BH640" s="380"/>
      <c r="BI640" s="511"/>
      <c r="BJ640" s="380"/>
      <c r="BK640" s="380"/>
      <c r="BL640" s="380"/>
      <c r="BM640" s="380"/>
      <c r="BN640" s="380"/>
      <c r="BO640" s="380"/>
      <c r="BP640" s="380"/>
      <c r="BQ640" s="380"/>
      <c r="BR640" s="380"/>
    </row>
    <row r="641" spans="1:70" ht="12.75" customHeight="1" x14ac:dyDescent="0.25">
      <c r="A641" s="380"/>
      <c r="B641" s="380"/>
      <c r="C641" s="380"/>
      <c r="D641" s="380"/>
      <c r="E641" s="511"/>
      <c r="F641" s="511"/>
      <c r="G641" s="582"/>
      <c r="H641" s="511"/>
      <c r="I641" s="511"/>
      <c r="J641" s="582"/>
      <c r="K641" s="511"/>
      <c r="L641" s="511"/>
      <c r="M641" s="582"/>
      <c r="N641" s="582"/>
      <c r="O641" s="582"/>
      <c r="P641" s="582"/>
      <c r="Q641" s="511"/>
      <c r="R641" s="511"/>
      <c r="S641" s="511"/>
      <c r="T641" s="639"/>
      <c r="U641" s="511"/>
      <c r="V641" s="511"/>
      <c r="W641" s="511"/>
      <c r="X641" s="511"/>
      <c r="Y641" s="380"/>
      <c r="Z641" s="380"/>
      <c r="AA641" s="380"/>
      <c r="AB641" s="380"/>
      <c r="AC641" s="380"/>
      <c r="AD641" s="671"/>
      <c r="AE641" s="380"/>
      <c r="AF641" s="380"/>
      <c r="AG641" s="380"/>
      <c r="AH641" s="671"/>
      <c r="AI641" s="380"/>
      <c r="AJ641" s="583"/>
      <c r="AK641" s="583"/>
      <c r="AL641" s="511"/>
      <c r="AM641" s="584"/>
      <c r="AN641" s="584"/>
      <c r="AO641" s="584"/>
      <c r="AP641" s="671"/>
      <c r="AQ641" s="584"/>
      <c r="AR641" s="583"/>
      <c r="AS641" s="583"/>
      <c r="AT641" s="585"/>
      <c r="AU641" s="585"/>
      <c r="AV641" s="585"/>
      <c r="AW641" s="585"/>
      <c r="AX641" s="673"/>
      <c r="AY641" s="380"/>
      <c r="AZ641" s="380"/>
      <c r="BA641" s="380"/>
      <c r="BB641" s="380"/>
      <c r="BC641" s="380"/>
      <c r="BD641" s="380"/>
      <c r="BE641" s="380"/>
      <c r="BF641" s="380"/>
      <c r="BG641" s="380"/>
      <c r="BH641" s="380"/>
      <c r="BI641" s="511"/>
      <c r="BJ641" s="380"/>
      <c r="BK641" s="380"/>
      <c r="BL641" s="380"/>
      <c r="BM641" s="380"/>
      <c r="BN641" s="380"/>
      <c r="BO641" s="380"/>
      <c r="BP641" s="380"/>
      <c r="BQ641" s="380"/>
      <c r="BR641" s="380"/>
    </row>
    <row r="642" spans="1:70" ht="12.75" customHeight="1" x14ac:dyDescent="0.25">
      <c r="A642" s="380"/>
      <c r="B642" s="380"/>
      <c r="C642" s="380"/>
      <c r="D642" s="380"/>
      <c r="E642" s="511"/>
      <c r="F642" s="511"/>
      <c r="G642" s="582"/>
      <c r="H642" s="511"/>
      <c r="I642" s="511"/>
      <c r="J642" s="582"/>
      <c r="K642" s="511"/>
      <c r="L642" s="511"/>
      <c r="M642" s="582"/>
      <c r="N642" s="582"/>
      <c r="O642" s="582"/>
      <c r="P642" s="582"/>
      <c r="Q642" s="511"/>
      <c r="R642" s="511"/>
      <c r="S642" s="511"/>
      <c r="T642" s="639"/>
      <c r="U642" s="511"/>
      <c r="V642" s="511"/>
      <c r="W642" s="511"/>
      <c r="X642" s="511"/>
      <c r="Y642" s="380"/>
      <c r="Z642" s="380"/>
      <c r="AA642" s="380"/>
      <c r="AB642" s="380"/>
      <c r="AC642" s="380"/>
      <c r="AD642" s="671"/>
      <c r="AE642" s="380"/>
      <c r="AF642" s="380"/>
      <c r="AG642" s="380"/>
      <c r="AH642" s="671"/>
      <c r="AI642" s="380"/>
      <c r="AJ642" s="583"/>
      <c r="AK642" s="583"/>
      <c r="AL642" s="511"/>
      <c r="AM642" s="584"/>
      <c r="AN642" s="584"/>
      <c r="AO642" s="584"/>
      <c r="AP642" s="671"/>
      <c r="AQ642" s="584"/>
      <c r="AR642" s="583"/>
      <c r="AS642" s="583"/>
      <c r="AT642" s="585"/>
      <c r="AU642" s="585"/>
      <c r="AV642" s="585"/>
      <c r="AW642" s="585"/>
      <c r="AX642" s="673"/>
      <c r="AY642" s="380"/>
      <c r="AZ642" s="380"/>
      <c r="BA642" s="380"/>
      <c r="BB642" s="380"/>
      <c r="BC642" s="380"/>
      <c r="BD642" s="380"/>
      <c r="BE642" s="380"/>
      <c r="BF642" s="380"/>
      <c r="BG642" s="380"/>
      <c r="BH642" s="380"/>
      <c r="BI642" s="511"/>
      <c r="BJ642" s="380"/>
      <c r="BK642" s="380"/>
      <c r="BL642" s="380"/>
      <c r="BM642" s="380"/>
      <c r="BN642" s="380"/>
      <c r="BO642" s="380"/>
      <c r="BP642" s="380"/>
      <c r="BQ642" s="380"/>
      <c r="BR642" s="380"/>
    </row>
    <row r="643" spans="1:70" ht="12.75" customHeight="1" x14ac:dyDescent="0.25">
      <c r="A643" s="380"/>
      <c r="B643" s="380"/>
      <c r="C643" s="380"/>
      <c r="D643" s="380"/>
      <c r="E643" s="511"/>
      <c r="F643" s="511"/>
      <c r="G643" s="582"/>
      <c r="H643" s="511"/>
      <c r="I643" s="511"/>
      <c r="J643" s="582"/>
      <c r="K643" s="511"/>
      <c r="L643" s="511"/>
      <c r="M643" s="582"/>
      <c r="N643" s="582"/>
      <c r="O643" s="582"/>
      <c r="P643" s="582"/>
      <c r="Q643" s="511"/>
      <c r="R643" s="511"/>
      <c r="S643" s="511"/>
      <c r="T643" s="639"/>
      <c r="U643" s="511"/>
      <c r="V643" s="511"/>
      <c r="W643" s="511"/>
      <c r="X643" s="511"/>
      <c r="Y643" s="380"/>
      <c r="Z643" s="380"/>
      <c r="AA643" s="380"/>
      <c r="AB643" s="380"/>
      <c r="AC643" s="380"/>
      <c r="AD643" s="671"/>
      <c r="AE643" s="380"/>
      <c r="AF643" s="380"/>
      <c r="AG643" s="380"/>
      <c r="AH643" s="671"/>
      <c r="AI643" s="380"/>
      <c r="AJ643" s="583"/>
      <c r="AK643" s="583"/>
      <c r="AL643" s="511"/>
      <c r="AM643" s="584"/>
      <c r="AN643" s="584"/>
      <c r="AO643" s="584"/>
      <c r="AP643" s="671"/>
      <c r="AQ643" s="584"/>
      <c r="AR643" s="583"/>
      <c r="AS643" s="583"/>
      <c r="AT643" s="585"/>
      <c r="AU643" s="585"/>
      <c r="AV643" s="585"/>
      <c r="AW643" s="585"/>
      <c r="AX643" s="673"/>
      <c r="AY643" s="380"/>
      <c r="AZ643" s="380"/>
      <c r="BA643" s="380"/>
      <c r="BB643" s="380"/>
      <c r="BC643" s="380"/>
      <c r="BD643" s="380"/>
      <c r="BE643" s="380"/>
      <c r="BF643" s="380"/>
      <c r="BG643" s="380"/>
      <c r="BH643" s="380"/>
      <c r="BI643" s="511"/>
      <c r="BJ643" s="380"/>
      <c r="BK643" s="380"/>
      <c r="BL643" s="380"/>
      <c r="BM643" s="380"/>
      <c r="BN643" s="380"/>
      <c r="BO643" s="380"/>
      <c r="BP643" s="380"/>
      <c r="BQ643" s="380"/>
      <c r="BR643" s="380"/>
    </row>
    <row r="644" spans="1:70" ht="12.75" customHeight="1" x14ac:dyDescent="0.25">
      <c r="A644" s="380"/>
      <c r="B644" s="380"/>
      <c r="C644" s="380"/>
      <c r="D644" s="380"/>
      <c r="E644" s="511"/>
      <c r="F644" s="511"/>
      <c r="G644" s="582"/>
      <c r="H644" s="511"/>
      <c r="I644" s="511"/>
      <c r="J644" s="582"/>
      <c r="K644" s="511"/>
      <c r="L644" s="511"/>
      <c r="M644" s="582"/>
      <c r="N644" s="582"/>
      <c r="O644" s="582"/>
      <c r="P644" s="582"/>
      <c r="Q644" s="511"/>
      <c r="R644" s="511"/>
      <c r="S644" s="511"/>
      <c r="T644" s="639"/>
      <c r="U644" s="511"/>
      <c r="V644" s="511"/>
      <c r="W644" s="511"/>
      <c r="X644" s="511"/>
      <c r="Y644" s="380"/>
      <c r="Z644" s="380"/>
      <c r="AA644" s="380"/>
      <c r="AB644" s="380"/>
      <c r="AC644" s="380"/>
      <c r="AD644" s="671"/>
      <c r="AE644" s="380"/>
      <c r="AF644" s="380"/>
      <c r="AG644" s="380"/>
      <c r="AH644" s="671"/>
      <c r="AI644" s="380"/>
      <c r="AJ644" s="583"/>
      <c r="AK644" s="583"/>
      <c r="AL644" s="511"/>
      <c r="AM644" s="584"/>
      <c r="AN644" s="584"/>
      <c r="AO644" s="584"/>
      <c r="AP644" s="671"/>
      <c r="AQ644" s="584"/>
      <c r="AR644" s="583"/>
      <c r="AS644" s="583"/>
      <c r="AT644" s="585"/>
      <c r="AU644" s="585"/>
      <c r="AV644" s="585"/>
      <c r="AW644" s="585"/>
      <c r="AX644" s="673"/>
      <c r="AY644" s="380"/>
      <c r="AZ644" s="380"/>
      <c r="BA644" s="380"/>
      <c r="BB644" s="380"/>
      <c r="BC644" s="380"/>
      <c r="BD644" s="380"/>
      <c r="BE644" s="380"/>
      <c r="BF644" s="380"/>
      <c r="BG644" s="380"/>
      <c r="BH644" s="380"/>
      <c r="BI644" s="511"/>
      <c r="BJ644" s="380"/>
      <c r="BK644" s="380"/>
      <c r="BL644" s="380"/>
      <c r="BM644" s="380"/>
      <c r="BN644" s="380"/>
      <c r="BO644" s="380"/>
      <c r="BP644" s="380"/>
      <c r="BQ644" s="380"/>
      <c r="BR644" s="380"/>
    </row>
    <row r="645" spans="1:70" ht="12.75" customHeight="1" x14ac:dyDescent="0.25">
      <c r="A645" s="380"/>
      <c r="B645" s="380"/>
      <c r="C645" s="380"/>
      <c r="D645" s="380"/>
      <c r="E645" s="511"/>
      <c r="F645" s="511"/>
      <c r="G645" s="582"/>
      <c r="H645" s="511"/>
      <c r="I645" s="511"/>
      <c r="J645" s="582"/>
      <c r="K645" s="511"/>
      <c r="L645" s="511"/>
      <c r="M645" s="582"/>
      <c r="N645" s="582"/>
      <c r="O645" s="582"/>
      <c r="P645" s="582"/>
      <c r="Q645" s="511"/>
      <c r="R645" s="511"/>
      <c r="S645" s="511"/>
      <c r="T645" s="639"/>
      <c r="U645" s="511"/>
      <c r="V645" s="511"/>
      <c r="W645" s="511"/>
      <c r="X645" s="511"/>
      <c r="Y645" s="380"/>
      <c r="Z645" s="380"/>
      <c r="AA645" s="380"/>
      <c r="AB645" s="380"/>
      <c r="AC645" s="380"/>
      <c r="AD645" s="671"/>
      <c r="AE645" s="380"/>
      <c r="AF645" s="380"/>
      <c r="AG645" s="380"/>
      <c r="AH645" s="671"/>
      <c r="AI645" s="380"/>
      <c r="AJ645" s="583"/>
      <c r="AK645" s="583"/>
      <c r="AL645" s="511"/>
      <c r="AM645" s="584"/>
      <c r="AN645" s="584"/>
      <c r="AO645" s="584"/>
      <c r="AP645" s="671"/>
      <c r="AQ645" s="584"/>
      <c r="AR645" s="583"/>
      <c r="AS645" s="583"/>
      <c r="AT645" s="585"/>
      <c r="AU645" s="585"/>
      <c r="AV645" s="585"/>
      <c r="AW645" s="585"/>
      <c r="AX645" s="673"/>
      <c r="AY645" s="380"/>
      <c r="AZ645" s="380"/>
      <c r="BA645" s="380"/>
      <c r="BB645" s="380"/>
      <c r="BC645" s="380"/>
      <c r="BD645" s="380"/>
      <c r="BE645" s="380"/>
      <c r="BF645" s="380"/>
      <c r="BG645" s="380"/>
      <c r="BH645" s="380"/>
      <c r="BI645" s="511"/>
      <c r="BJ645" s="380"/>
      <c r="BK645" s="380"/>
      <c r="BL645" s="380"/>
      <c r="BM645" s="380"/>
      <c r="BN645" s="380"/>
      <c r="BO645" s="380"/>
      <c r="BP645" s="380"/>
      <c r="BQ645" s="380"/>
      <c r="BR645" s="380"/>
    </row>
    <row r="646" spans="1:70" ht="12.75" customHeight="1" x14ac:dyDescent="0.25">
      <c r="A646" s="380"/>
      <c r="B646" s="380"/>
      <c r="C646" s="380"/>
      <c r="D646" s="380"/>
      <c r="E646" s="511"/>
      <c r="F646" s="511"/>
      <c r="G646" s="582"/>
      <c r="H646" s="511"/>
      <c r="I646" s="511"/>
      <c r="J646" s="582"/>
      <c r="K646" s="511"/>
      <c r="L646" s="511"/>
      <c r="M646" s="582"/>
      <c r="N646" s="582"/>
      <c r="O646" s="582"/>
      <c r="P646" s="582"/>
      <c r="Q646" s="511"/>
      <c r="R646" s="511"/>
      <c r="S646" s="511"/>
      <c r="T646" s="639"/>
      <c r="U646" s="511"/>
      <c r="V646" s="511"/>
      <c r="W646" s="511"/>
      <c r="X646" s="511"/>
      <c r="Y646" s="380"/>
      <c r="Z646" s="380"/>
      <c r="AA646" s="380"/>
      <c r="AB646" s="380"/>
      <c r="AC646" s="380"/>
      <c r="AD646" s="671"/>
      <c r="AE646" s="380"/>
      <c r="AF646" s="380"/>
      <c r="AG646" s="380"/>
      <c r="AH646" s="671"/>
      <c r="AI646" s="380"/>
      <c r="AJ646" s="583"/>
      <c r="AK646" s="583"/>
      <c r="AL646" s="511"/>
      <c r="AM646" s="584"/>
      <c r="AN646" s="584"/>
      <c r="AO646" s="584"/>
      <c r="AP646" s="671"/>
      <c r="AQ646" s="584"/>
      <c r="AR646" s="583"/>
      <c r="AS646" s="583"/>
      <c r="AT646" s="585"/>
      <c r="AU646" s="585"/>
      <c r="AV646" s="585"/>
      <c r="AW646" s="585"/>
      <c r="AX646" s="673"/>
      <c r="AY646" s="380"/>
      <c r="AZ646" s="380"/>
      <c r="BA646" s="380"/>
      <c r="BB646" s="380"/>
      <c r="BC646" s="380"/>
      <c r="BD646" s="380"/>
      <c r="BE646" s="380"/>
      <c r="BF646" s="380"/>
      <c r="BG646" s="380"/>
      <c r="BH646" s="380"/>
      <c r="BI646" s="511"/>
      <c r="BJ646" s="380"/>
      <c r="BK646" s="380"/>
      <c r="BL646" s="380"/>
      <c r="BM646" s="380"/>
      <c r="BN646" s="380"/>
      <c r="BO646" s="380"/>
      <c r="BP646" s="380"/>
      <c r="BQ646" s="380"/>
      <c r="BR646" s="380"/>
    </row>
    <row r="647" spans="1:70" ht="12.75" customHeight="1" x14ac:dyDescent="0.25">
      <c r="A647" s="380"/>
      <c r="B647" s="380"/>
      <c r="C647" s="380"/>
      <c r="D647" s="380"/>
      <c r="E647" s="511"/>
      <c r="F647" s="511"/>
      <c r="G647" s="582"/>
      <c r="H647" s="511"/>
      <c r="I647" s="511"/>
      <c r="J647" s="582"/>
      <c r="K647" s="511"/>
      <c r="L647" s="511"/>
      <c r="M647" s="582"/>
      <c r="N647" s="582"/>
      <c r="O647" s="582"/>
      <c r="P647" s="582"/>
      <c r="Q647" s="511"/>
      <c r="R647" s="511"/>
      <c r="S647" s="511"/>
      <c r="T647" s="639"/>
      <c r="U647" s="511"/>
      <c r="V647" s="511"/>
      <c r="W647" s="511"/>
      <c r="X647" s="511"/>
      <c r="Y647" s="380"/>
      <c r="Z647" s="380"/>
      <c r="AA647" s="380"/>
      <c r="AB647" s="380"/>
      <c r="AC647" s="380"/>
      <c r="AD647" s="671"/>
      <c r="AE647" s="380"/>
      <c r="AF647" s="380"/>
      <c r="AG647" s="380"/>
      <c r="AH647" s="671"/>
      <c r="AI647" s="380"/>
      <c r="AJ647" s="583"/>
      <c r="AK647" s="583"/>
      <c r="AL647" s="511"/>
      <c r="AM647" s="584"/>
      <c r="AN647" s="584"/>
      <c r="AO647" s="584"/>
      <c r="AP647" s="671"/>
      <c r="AQ647" s="584"/>
      <c r="AR647" s="583"/>
      <c r="AS647" s="583"/>
      <c r="AT647" s="585"/>
      <c r="AU647" s="585"/>
      <c r="AV647" s="585"/>
      <c r="AW647" s="585"/>
      <c r="AX647" s="673"/>
      <c r="AY647" s="380"/>
      <c r="AZ647" s="380"/>
      <c r="BA647" s="380"/>
      <c r="BB647" s="380"/>
      <c r="BC647" s="380"/>
      <c r="BD647" s="380"/>
      <c r="BE647" s="380"/>
      <c r="BF647" s="380"/>
      <c r="BG647" s="380"/>
      <c r="BH647" s="380"/>
      <c r="BI647" s="511"/>
      <c r="BJ647" s="380"/>
      <c r="BK647" s="380"/>
      <c r="BL647" s="380"/>
      <c r="BM647" s="380"/>
      <c r="BN647" s="380"/>
      <c r="BO647" s="380"/>
      <c r="BP647" s="380"/>
      <c r="BQ647" s="380"/>
      <c r="BR647" s="380"/>
    </row>
    <row r="648" spans="1:70" ht="12.75" customHeight="1" x14ac:dyDescent="0.25">
      <c r="A648" s="380"/>
      <c r="B648" s="380"/>
      <c r="C648" s="380"/>
      <c r="D648" s="380"/>
      <c r="E648" s="511"/>
      <c r="F648" s="511"/>
      <c r="G648" s="582"/>
      <c r="H648" s="511"/>
      <c r="I648" s="511"/>
      <c r="J648" s="582"/>
      <c r="K648" s="511"/>
      <c r="L648" s="511"/>
      <c r="M648" s="582"/>
      <c r="N648" s="582"/>
      <c r="O648" s="582"/>
      <c r="P648" s="582"/>
      <c r="Q648" s="511"/>
      <c r="R648" s="511"/>
      <c r="S648" s="511"/>
      <c r="T648" s="639"/>
      <c r="U648" s="511"/>
      <c r="V648" s="511"/>
      <c r="W648" s="511"/>
      <c r="X648" s="511"/>
      <c r="Y648" s="380"/>
      <c r="Z648" s="380"/>
      <c r="AA648" s="380"/>
      <c r="AB648" s="380"/>
      <c r="AC648" s="380"/>
      <c r="AD648" s="671"/>
      <c r="AE648" s="380"/>
      <c r="AF648" s="380"/>
      <c r="AG648" s="380"/>
      <c r="AH648" s="671"/>
      <c r="AI648" s="380"/>
      <c r="AJ648" s="583"/>
      <c r="AK648" s="583"/>
      <c r="AL648" s="511"/>
      <c r="AM648" s="584"/>
      <c r="AN648" s="584"/>
      <c r="AO648" s="584"/>
      <c r="AP648" s="671"/>
      <c r="AQ648" s="584"/>
      <c r="AR648" s="583"/>
      <c r="AS648" s="583"/>
      <c r="AT648" s="585"/>
      <c r="AU648" s="585"/>
      <c r="AV648" s="585"/>
      <c r="AW648" s="585"/>
      <c r="AX648" s="673"/>
      <c r="AY648" s="380"/>
      <c r="AZ648" s="380"/>
      <c r="BA648" s="380"/>
      <c r="BB648" s="380"/>
      <c r="BC648" s="380"/>
      <c r="BD648" s="380"/>
      <c r="BE648" s="380"/>
      <c r="BF648" s="380"/>
      <c r="BG648" s="380"/>
      <c r="BH648" s="380"/>
      <c r="BI648" s="511"/>
      <c r="BJ648" s="380"/>
      <c r="BK648" s="380"/>
      <c r="BL648" s="380"/>
      <c r="BM648" s="380"/>
      <c r="BN648" s="380"/>
      <c r="BO648" s="380"/>
      <c r="BP648" s="380"/>
      <c r="BQ648" s="380"/>
      <c r="BR648" s="380"/>
    </row>
    <row r="649" spans="1:70" ht="12.75" customHeight="1" x14ac:dyDescent="0.25">
      <c r="A649" s="380"/>
      <c r="B649" s="380"/>
      <c r="C649" s="380"/>
      <c r="D649" s="380"/>
      <c r="E649" s="511"/>
      <c r="F649" s="511"/>
      <c r="G649" s="582"/>
      <c r="H649" s="511"/>
      <c r="I649" s="511"/>
      <c r="J649" s="582"/>
      <c r="K649" s="511"/>
      <c r="L649" s="511"/>
      <c r="M649" s="582"/>
      <c r="N649" s="582"/>
      <c r="O649" s="582"/>
      <c r="P649" s="582"/>
      <c r="Q649" s="511"/>
      <c r="R649" s="511"/>
      <c r="S649" s="511"/>
      <c r="T649" s="639"/>
      <c r="U649" s="511"/>
      <c r="V649" s="511"/>
      <c r="W649" s="511"/>
      <c r="X649" s="511"/>
      <c r="Y649" s="380"/>
      <c r="Z649" s="380"/>
      <c r="AA649" s="380"/>
      <c r="AB649" s="380"/>
      <c r="AC649" s="380"/>
      <c r="AD649" s="671"/>
      <c r="AE649" s="380"/>
      <c r="AF649" s="380"/>
      <c r="AG649" s="380"/>
      <c r="AH649" s="671"/>
      <c r="AI649" s="380"/>
      <c r="AJ649" s="583"/>
      <c r="AK649" s="583"/>
      <c r="AL649" s="511"/>
      <c r="AM649" s="584"/>
      <c r="AN649" s="584"/>
      <c r="AO649" s="584"/>
      <c r="AP649" s="671"/>
      <c r="AQ649" s="584"/>
      <c r="AR649" s="583"/>
      <c r="AS649" s="583"/>
      <c r="AT649" s="585"/>
      <c r="AU649" s="585"/>
      <c r="AV649" s="585"/>
      <c r="AW649" s="585"/>
      <c r="AX649" s="673"/>
      <c r="AY649" s="380"/>
      <c r="AZ649" s="380"/>
      <c r="BA649" s="380"/>
      <c r="BB649" s="380"/>
      <c r="BC649" s="380"/>
      <c r="BD649" s="380"/>
      <c r="BE649" s="380"/>
      <c r="BF649" s="380"/>
      <c r="BG649" s="380"/>
      <c r="BH649" s="380"/>
      <c r="BI649" s="511"/>
      <c r="BJ649" s="380"/>
      <c r="BK649" s="380"/>
      <c r="BL649" s="380"/>
      <c r="BM649" s="380"/>
      <c r="BN649" s="380"/>
      <c r="BO649" s="380"/>
      <c r="BP649" s="380"/>
      <c r="BQ649" s="380"/>
      <c r="BR649" s="380"/>
    </row>
    <row r="650" spans="1:70" ht="12.75" customHeight="1" x14ac:dyDescent="0.25">
      <c r="A650" s="380"/>
      <c r="B650" s="380"/>
      <c r="C650" s="380"/>
      <c r="D650" s="380"/>
      <c r="E650" s="511"/>
      <c r="F650" s="511"/>
      <c r="G650" s="582"/>
      <c r="H650" s="511"/>
      <c r="I650" s="511"/>
      <c r="J650" s="582"/>
      <c r="K650" s="511"/>
      <c r="L650" s="511"/>
      <c r="M650" s="582"/>
      <c r="N650" s="582"/>
      <c r="O650" s="582"/>
      <c r="P650" s="582"/>
      <c r="Q650" s="511"/>
      <c r="R650" s="511"/>
      <c r="S650" s="511"/>
      <c r="T650" s="639"/>
      <c r="U650" s="511"/>
      <c r="V650" s="511"/>
      <c r="W650" s="511"/>
      <c r="X650" s="511"/>
      <c r="Y650" s="380"/>
      <c r="Z650" s="380"/>
      <c r="AA650" s="380"/>
      <c r="AB650" s="380"/>
      <c r="AC650" s="380"/>
      <c r="AD650" s="671"/>
      <c r="AE650" s="380"/>
      <c r="AF650" s="380"/>
      <c r="AG650" s="380"/>
      <c r="AH650" s="671"/>
      <c r="AI650" s="380"/>
      <c r="AJ650" s="583"/>
      <c r="AK650" s="583"/>
      <c r="AL650" s="511"/>
      <c r="AM650" s="584"/>
      <c r="AN650" s="584"/>
      <c r="AO650" s="584"/>
      <c r="AP650" s="671"/>
      <c r="AQ650" s="584"/>
      <c r="AR650" s="583"/>
      <c r="AS650" s="583"/>
      <c r="AT650" s="585"/>
      <c r="AU650" s="585"/>
      <c r="AV650" s="585"/>
      <c r="AW650" s="585"/>
      <c r="AX650" s="673"/>
      <c r="AY650" s="380"/>
      <c r="AZ650" s="380"/>
      <c r="BA650" s="380"/>
      <c r="BB650" s="380"/>
      <c r="BC650" s="380"/>
      <c r="BD650" s="380"/>
      <c r="BE650" s="380"/>
      <c r="BF650" s="380"/>
      <c r="BG650" s="380"/>
      <c r="BH650" s="380"/>
      <c r="BI650" s="511"/>
      <c r="BJ650" s="380"/>
      <c r="BK650" s="380"/>
      <c r="BL650" s="380"/>
      <c r="BM650" s="380"/>
      <c r="BN650" s="380"/>
      <c r="BO650" s="380"/>
      <c r="BP650" s="380"/>
      <c r="BQ650" s="380"/>
      <c r="BR650" s="380"/>
    </row>
    <row r="651" spans="1:70" ht="12.75" customHeight="1" x14ac:dyDescent="0.25">
      <c r="A651" s="380"/>
      <c r="B651" s="380"/>
      <c r="C651" s="380"/>
      <c r="D651" s="380"/>
      <c r="E651" s="511"/>
      <c r="F651" s="511"/>
      <c r="G651" s="582"/>
      <c r="H651" s="511"/>
      <c r="I651" s="511"/>
      <c r="J651" s="582"/>
      <c r="K651" s="511"/>
      <c r="L651" s="511"/>
      <c r="M651" s="582"/>
      <c r="N651" s="582"/>
      <c r="O651" s="582"/>
      <c r="P651" s="582"/>
      <c r="Q651" s="511"/>
      <c r="R651" s="511"/>
      <c r="S651" s="511"/>
      <c r="T651" s="639"/>
      <c r="U651" s="511"/>
      <c r="V651" s="511"/>
      <c r="W651" s="511"/>
      <c r="X651" s="511"/>
      <c r="Y651" s="380"/>
      <c r="Z651" s="380"/>
      <c r="AA651" s="380"/>
      <c r="AB651" s="380"/>
      <c r="AC651" s="380"/>
      <c r="AD651" s="671"/>
      <c r="AE651" s="380"/>
      <c r="AF651" s="380"/>
      <c r="AG651" s="380"/>
      <c r="AH651" s="671"/>
      <c r="AI651" s="380"/>
      <c r="AJ651" s="583"/>
      <c r="AK651" s="583"/>
      <c r="AL651" s="511"/>
      <c r="AM651" s="584"/>
      <c r="AN651" s="584"/>
      <c r="AO651" s="584"/>
      <c r="AP651" s="671"/>
      <c r="AQ651" s="584"/>
      <c r="AR651" s="583"/>
      <c r="AS651" s="583"/>
      <c r="AT651" s="585"/>
      <c r="AU651" s="585"/>
      <c r="AV651" s="585"/>
      <c r="AW651" s="585"/>
      <c r="AX651" s="673"/>
      <c r="AY651" s="380"/>
      <c r="AZ651" s="380"/>
      <c r="BA651" s="380"/>
      <c r="BB651" s="380"/>
      <c r="BC651" s="380"/>
      <c r="BD651" s="380"/>
      <c r="BE651" s="380"/>
      <c r="BF651" s="380"/>
      <c r="BG651" s="380"/>
      <c r="BH651" s="380"/>
      <c r="BI651" s="511"/>
      <c r="BJ651" s="380"/>
      <c r="BK651" s="380"/>
      <c r="BL651" s="380"/>
      <c r="BM651" s="380"/>
      <c r="BN651" s="380"/>
      <c r="BO651" s="380"/>
      <c r="BP651" s="380"/>
      <c r="BQ651" s="380"/>
      <c r="BR651" s="380"/>
    </row>
    <row r="652" spans="1:70" ht="12.75" customHeight="1" x14ac:dyDescent="0.25">
      <c r="A652" s="380"/>
      <c r="B652" s="380"/>
      <c r="C652" s="380"/>
      <c r="D652" s="380"/>
      <c r="E652" s="511"/>
      <c r="F652" s="511"/>
      <c r="G652" s="582"/>
      <c r="H652" s="511"/>
      <c r="I652" s="511"/>
      <c r="J652" s="582"/>
      <c r="K652" s="511"/>
      <c r="L652" s="511"/>
      <c r="M652" s="582"/>
      <c r="N652" s="582"/>
      <c r="O652" s="582"/>
      <c r="P652" s="582"/>
      <c r="Q652" s="511"/>
      <c r="R652" s="511"/>
      <c r="S652" s="511"/>
      <c r="T652" s="639"/>
      <c r="U652" s="511"/>
      <c r="V652" s="511"/>
      <c r="W652" s="511"/>
      <c r="X652" s="511"/>
      <c r="Y652" s="380"/>
      <c r="Z652" s="380"/>
      <c r="AA652" s="380"/>
      <c r="AB652" s="380"/>
      <c r="AC652" s="380"/>
      <c r="AD652" s="671"/>
      <c r="AE652" s="380"/>
      <c r="AF652" s="380"/>
      <c r="AG652" s="380"/>
      <c r="AH652" s="671"/>
      <c r="AI652" s="380"/>
      <c r="AJ652" s="583"/>
      <c r="AK652" s="583"/>
      <c r="AL652" s="511"/>
      <c r="AM652" s="584"/>
      <c r="AN652" s="584"/>
      <c r="AO652" s="584"/>
      <c r="AP652" s="671"/>
      <c r="AQ652" s="584"/>
      <c r="AR652" s="583"/>
      <c r="AS652" s="583"/>
      <c r="AT652" s="585"/>
      <c r="AU652" s="585"/>
      <c r="AV652" s="585"/>
      <c r="AW652" s="585"/>
      <c r="AX652" s="673"/>
      <c r="AY652" s="380"/>
      <c r="AZ652" s="380"/>
      <c r="BA652" s="380"/>
      <c r="BB652" s="380"/>
      <c r="BC652" s="380"/>
      <c r="BD652" s="380"/>
      <c r="BE652" s="380"/>
      <c r="BF652" s="380"/>
      <c r="BG652" s="380"/>
      <c r="BH652" s="380"/>
      <c r="BI652" s="511"/>
      <c r="BJ652" s="380"/>
      <c r="BK652" s="380"/>
      <c r="BL652" s="380"/>
      <c r="BM652" s="380"/>
      <c r="BN652" s="380"/>
      <c r="BO652" s="380"/>
      <c r="BP652" s="380"/>
      <c r="BQ652" s="380"/>
      <c r="BR652" s="380"/>
    </row>
    <row r="653" spans="1:70" ht="12.75" customHeight="1" x14ac:dyDescent="0.25">
      <c r="A653" s="380"/>
      <c r="B653" s="380"/>
      <c r="C653" s="380"/>
      <c r="D653" s="380"/>
      <c r="E653" s="511"/>
      <c r="F653" s="511"/>
      <c r="G653" s="582"/>
      <c r="H653" s="511"/>
      <c r="I653" s="511"/>
      <c r="J653" s="582"/>
      <c r="K653" s="511"/>
      <c r="L653" s="511"/>
      <c r="M653" s="582"/>
      <c r="N653" s="582"/>
      <c r="O653" s="582"/>
      <c r="P653" s="582"/>
      <c r="Q653" s="511"/>
      <c r="R653" s="511"/>
      <c r="S653" s="511"/>
      <c r="T653" s="639"/>
      <c r="U653" s="511"/>
      <c r="V653" s="511"/>
      <c r="W653" s="511"/>
      <c r="X653" s="511"/>
      <c r="Y653" s="380"/>
      <c r="Z653" s="380"/>
      <c r="AA653" s="380"/>
      <c r="AB653" s="380"/>
      <c r="AC653" s="380"/>
      <c r="AD653" s="671"/>
      <c r="AE653" s="380"/>
      <c r="AF653" s="380"/>
      <c r="AG653" s="380"/>
      <c r="AH653" s="671"/>
      <c r="AI653" s="380"/>
      <c r="AJ653" s="583"/>
      <c r="AK653" s="583"/>
      <c r="AL653" s="511"/>
      <c r="AM653" s="584"/>
      <c r="AN653" s="584"/>
      <c r="AO653" s="584"/>
      <c r="AP653" s="671"/>
      <c r="AQ653" s="584"/>
      <c r="AR653" s="583"/>
      <c r="AS653" s="583"/>
      <c r="AT653" s="585"/>
      <c r="AU653" s="585"/>
      <c r="AV653" s="585"/>
      <c r="AW653" s="585"/>
      <c r="AX653" s="673"/>
      <c r="AY653" s="380"/>
      <c r="AZ653" s="380"/>
      <c r="BA653" s="380"/>
      <c r="BB653" s="380"/>
      <c r="BC653" s="380"/>
      <c r="BD653" s="380"/>
      <c r="BE653" s="380"/>
      <c r="BF653" s="380"/>
      <c r="BG653" s="380"/>
      <c r="BH653" s="380"/>
      <c r="BI653" s="511"/>
      <c r="BJ653" s="380"/>
      <c r="BK653" s="380"/>
      <c r="BL653" s="380"/>
      <c r="BM653" s="380"/>
      <c r="BN653" s="380"/>
      <c r="BO653" s="380"/>
      <c r="BP653" s="380"/>
      <c r="BQ653" s="380"/>
      <c r="BR653" s="380"/>
    </row>
    <row r="654" spans="1:70" ht="12.75" customHeight="1" x14ac:dyDescent="0.25">
      <c r="A654" s="380"/>
      <c r="B654" s="380"/>
      <c r="C654" s="380"/>
      <c r="D654" s="380"/>
      <c r="E654" s="511"/>
      <c r="F654" s="511"/>
      <c r="G654" s="582"/>
      <c r="H654" s="511"/>
      <c r="I654" s="511"/>
      <c r="J654" s="582"/>
      <c r="K654" s="511"/>
      <c r="L654" s="511"/>
      <c r="M654" s="582"/>
      <c r="N654" s="582"/>
      <c r="O654" s="582"/>
      <c r="P654" s="582"/>
      <c r="Q654" s="511"/>
      <c r="R654" s="511"/>
      <c r="S654" s="511"/>
      <c r="T654" s="639"/>
      <c r="U654" s="511"/>
      <c r="V654" s="511"/>
      <c r="W654" s="511"/>
      <c r="X654" s="511"/>
      <c r="Y654" s="380"/>
      <c r="Z654" s="380"/>
      <c r="AA654" s="380"/>
      <c r="AB654" s="380"/>
      <c r="AC654" s="380"/>
      <c r="AD654" s="671"/>
      <c r="AE654" s="380"/>
      <c r="AF654" s="380"/>
      <c r="AG654" s="380"/>
      <c r="AH654" s="671"/>
      <c r="AI654" s="380"/>
      <c r="AJ654" s="583"/>
      <c r="AK654" s="583"/>
      <c r="AL654" s="511"/>
      <c r="AM654" s="584"/>
      <c r="AN654" s="584"/>
      <c r="AO654" s="584"/>
      <c r="AP654" s="671"/>
      <c r="AQ654" s="584"/>
      <c r="AR654" s="583"/>
      <c r="AS654" s="583"/>
      <c r="AT654" s="585"/>
      <c r="AU654" s="585"/>
      <c r="AV654" s="585"/>
      <c r="AW654" s="585"/>
      <c r="AX654" s="673"/>
      <c r="AY654" s="380"/>
      <c r="AZ654" s="380"/>
      <c r="BA654" s="380"/>
      <c r="BB654" s="380"/>
      <c r="BC654" s="380"/>
      <c r="BD654" s="380"/>
      <c r="BE654" s="380"/>
      <c r="BF654" s="380"/>
      <c r="BG654" s="380"/>
      <c r="BH654" s="380"/>
      <c r="BI654" s="511"/>
      <c r="BJ654" s="380"/>
      <c r="BK654" s="380"/>
      <c r="BL654" s="380"/>
      <c r="BM654" s="380"/>
      <c r="BN654" s="380"/>
      <c r="BO654" s="380"/>
      <c r="BP654" s="380"/>
      <c r="BQ654" s="380"/>
      <c r="BR654" s="380"/>
    </row>
    <row r="655" spans="1:70" ht="12.75" customHeight="1" x14ac:dyDescent="0.25">
      <c r="A655" s="380"/>
      <c r="B655" s="380"/>
      <c r="C655" s="380"/>
      <c r="D655" s="380"/>
      <c r="E655" s="511"/>
      <c r="F655" s="511"/>
      <c r="G655" s="582"/>
      <c r="H655" s="511"/>
      <c r="I655" s="511"/>
      <c r="J655" s="582"/>
      <c r="K655" s="511"/>
      <c r="L655" s="511"/>
      <c r="M655" s="582"/>
      <c r="N655" s="582"/>
      <c r="O655" s="582"/>
      <c r="P655" s="582"/>
      <c r="Q655" s="511"/>
      <c r="R655" s="511"/>
      <c r="S655" s="511"/>
      <c r="T655" s="639"/>
      <c r="U655" s="511"/>
      <c r="V655" s="511"/>
      <c r="W655" s="511"/>
      <c r="X655" s="511"/>
      <c r="Y655" s="380"/>
      <c r="Z655" s="380"/>
      <c r="AA655" s="380"/>
      <c r="AB655" s="380"/>
      <c r="AC655" s="380"/>
      <c r="AD655" s="671"/>
      <c r="AE655" s="380"/>
      <c r="AF655" s="380"/>
      <c r="AG655" s="380"/>
      <c r="AH655" s="671"/>
      <c r="AI655" s="380"/>
      <c r="AJ655" s="583"/>
      <c r="AK655" s="583"/>
      <c r="AL655" s="511"/>
      <c r="AM655" s="584"/>
      <c r="AN655" s="584"/>
      <c r="AO655" s="584"/>
      <c r="AP655" s="671"/>
      <c r="AQ655" s="584"/>
      <c r="AR655" s="583"/>
      <c r="AS655" s="583"/>
      <c r="AT655" s="585"/>
      <c r="AU655" s="585"/>
      <c r="AV655" s="585"/>
      <c r="AW655" s="585"/>
      <c r="AX655" s="673"/>
      <c r="AY655" s="380"/>
      <c r="AZ655" s="380"/>
      <c r="BA655" s="380"/>
      <c r="BB655" s="380"/>
      <c r="BC655" s="380"/>
      <c r="BD655" s="380"/>
      <c r="BE655" s="380"/>
      <c r="BF655" s="380"/>
      <c r="BG655" s="380"/>
      <c r="BH655" s="380"/>
      <c r="BI655" s="511"/>
      <c r="BJ655" s="380"/>
      <c r="BK655" s="380"/>
      <c r="BL655" s="380"/>
      <c r="BM655" s="380"/>
      <c r="BN655" s="380"/>
      <c r="BO655" s="380"/>
      <c r="BP655" s="380"/>
      <c r="BQ655" s="380"/>
      <c r="BR655" s="380"/>
    </row>
    <row r="656" spans="1:70" ht="12.75" customHeight="1" x14ac:dyDescent="0.25">
      <c r="A656" s="380"/>
      <c r="B656" s="380"/>
      <c r="C656" s="380"/>
      <c r="D656" s="380"/>
      <c r="E656" s="511"/>
      <c r="F656" s="511"/>
      <c r="G656" s="582"/>
      <c r="H656" s="511"/>
      <c r="I656" s="511"/>
      <c r="J656" s="582"/>
      <c r="K656" s="511"/>
      <c r="L656" s="511"/>
      <c r="M656" s="582"/>
      <c r="N656" s="582"/>
      <c r="O656" s="582"/>
      <c r="P656" s="582"/>
      <c r="Q656" s="511"/>
      <c r="R656" s="511"/>
      <c r="S656" s="511"/>
      <c r="T656" s="639"/>
      <c r="U656" s="511"/>
      <c r="V656" s="511"/>
      <c r="W656" s="511"/>
      <c r="X656" s="511"/>
      <c r="Y656" s="380"/>
      <c r="Z656" s="380"/>
      <c r="AA656" s="380"/>
      <c r="AB656" s="380"/>
      <c r="AC656" s="380"/>
      <c r="AD656" s="671"/>
      <c r="AE656" s="380"/>
      <c r="AF656" s="380"/>
      <c r="AG656" s="380"/>
      <c r="AH656" s="671"/>
      <c r="AI656" s="380"/>
      <c r="AJ656" s="583"/>
      <c r="AK656" s="583"/>
      <c r="AL656" s="511"/>
      <c r="AM656" s="584"/>
      <c r="AN656" s="584"/>
      <c r="AO656" s="584"/>
      <c r="AP656" s="671"/>
      <c r="AQ656" s="584"/>
      <c r="AR656" s="583"/>
      <c r="AS656" s="583"/>
      <c r="AT656" s="585"/>
      <c r="AU656" s="585"/>
      <c r="AV656" s="585"/>
      <c r="AW656" s="585"/>
      <c r="AX656" s="673"/>
      <c r="AY656" s="380"/>
      <c r="AZ656" s="380"/>
      <c r="BA656" s="380"/>
      <c r="BB656" s="380"/>
      <c r="BC656" s="380"/>
      <c r="BD656" s="380"/>
      <c r="BE656" s="380"/>
      <c r="BF656" s="380"/>
      <c r="BG656" s="380"/>
      <c r="BH656" s="380"/>
      <c r="BI656" s="511"/>
      <c r="BJ656" s="380"/>
      <c r="BK656" s="380"/>
      <c r="BL656" s="380"/>
      <c r="BM656" s="380"/>
      <c r="BN656" s="380"/>
      <c r="BO656" s="380"/>
      <c r="BP656" s="380"/>
      <c r="BQ656" s="380"/>
      <c r="BR656" s="380"/>
    </row>
    <row r="657" spans="1:70" ht="12.75" customHeight="1" x14ac:dyDescent="0.25">
      <c r="A657" s="380"/>
      <c r="B657" s="380"/>
      <c r="C657" s="380"/>
      <c r="D657" s="380"/>
      <c r="E657" s="511"/>
      <c r="F657" s="511"/>
      <c r="G657" s="582"/>
      <c r="H657" s="511"/>
      <c r="I657" s="511"/>
      <c r="J657" s="582"/>
      <c r="K657" s="511"/>
      <c r="L657" s="511"/>
      <c r="M657" s="582"/>
      <c r="N657" s="582"/>
      <c r="O657" s="582"/>
      <c r="P657" s="582"/>
      <c r="Q657" s="511"/>
      <c r="R657" s="511"/>
      <c r="S657" s="511"/>
      <c r="T657" s="639"/>
      <c r="U657" s="511"/>
      <c r="V657" s="511"/>
      <c r="W657" s="511"/>
      <c r="X657" s="511"/>
      <c r="Y657" s="380"/>
      <c r="Z657" s="380"/>
      <c r="AA657" s="380"/>
      <c r="AB657" s="380"/>
      <c r="AC657" s="380"/>
      <c r="AD657" s="671"/>
      <c r="AE657" s="380"/>
      <c r="AF657" s="380"/>
      <c r="AG657" s="380"/>
      <c r="AH657" s="671"/>
      <c r="AI657" s="380"/>
      <c r="AJ657" s="583"/>
      <c r="AK657" s="583"/>
      <c r="AL657" s="511"/>
      <c r="AM657" s="584"/>
      <c r="AN657" s="584"/>
      <c r="AO657" s="584"/>
      <c r="AP657" s="671"/>
      <c r="AQ657" s="584"/>
      <c r="AR657" s="583"/>
      <c r="AS657" s="583"/>
      <c r="AT657" s="585"/>
      <c r="AU657" s="585"/>
      <c r="AV657" s="585"/>
      <c r="AW657" s="585"/>
      <c r="AX657" s="673"/>
      <c r="AY657" s="380"/>
      <c r="AZ657" s="380"/>
      <c r="BA657" s="380"/>
      <c r="BB657" s="380"/>
      <c r="BC657" s="380"/>
      <c r="BD657" s="380"/>
      <c r="BE657" s="380"/>
      <c r="BF657" s="380"/>
      <c r="BG657" s="380"/>
      <c r="BH657" s="380"/>
      <c r="BI657" s="511"/>
      <c r="BJ657" s="380"/>
      <c r="BK657" s="380"/>
      <c r="BL657" s="380"/>
      <c r="BM657" s="380"/>
      <c r="BN657" s="380"/>
      <c r="BO657" s="380"/>
      <c r="BP657" s="380"/>
      <c r="BQ657" s="380"/>
      <c r="BR657" s="380"/>
    </row>
    <row r="658" spans="1:70" ht="12.75" customHeight="1" x14ac:dyDescent="0.25">
      <c r="A658" s="380"/>
      <c r="B658" s="380"/>
      <c r="C658" s="380"/>
      <c r="D658" s="380"/>
      <c r="E658" s="511"/>
      <c r="F658" s="511"/>
      <c r="G658" s="582"/>
      <c r="H658" s="511"/>
      <c r="I658" s="511"/>
      <c r="J658" s="582"/>
      <c r="K658" s="511"/>
      <c r="L658" s="511"/>
      <c r="M658" s="582"/>
      <c r="N658" s="582"/>
      <c r="O658" s="582"/>
      <c r="P658" s="582"/>
      <c r="Q658" s="511"/>
      <c r="R658" s="511"/>
      <c r="S658" s="511"/>
      <c r="T658" s="639"/>
      <c r="U658" s="511"/>
      <c r="V658" s="511"/>
      <c r="W658" s="511"/>
      <c r="X658" s="511"/>
      <c r="Y658" s="380"/>
      <c r="Z658" s="380"/>
      <c r="AA658" s="380"/>
      <c r="AB658" s="380"/>
      <c r="AC658" s="380"/>
      <c r="AD658" s="671"/>
      <c r="AE658" s="380"/>
      <c r="AF658" s="380"/>
      <c r="AG658" s="380"/>
      <c r="AH658" s="671"/>
      <c r="AI658" s="380"/>
      <c r="AJ658" s="583"/>
      <c r="AK658" s="583"/>
      <c r="AL658" s="511"/>
      <c r="AM658" s="584"/>
      <c r="AN658" s="584"/>
      <c r="AO658" s="584"/>
      <c r="AP658" s="671"/>
      <c r="AQ658" s="584"/>
      <c r="AR658" s="583"/>
      <c r="AS658" s="583"/>
      <c r="AT658" s="585"/>
      <c r="AU658" s="585"/>
      <c r="AV658" s="585"/>
      <c r="AW658" s="585"/>
      <c r="AX658" s="673"/>
      <c r="AY658" s="380"/>
      <c r="AZ658" s="380"/>
      <c r="BA658" s="380"/>
      <c r="BB658" s="380"/>
      <c r="BC658" s="380"/>
      <c r="BD658" s="380"/>
      <c r="BE658" s="380"/>
      <c r="BF658" s="380"/>
      <c r="BG658" s="380"/>
      <c r="BH658" s="380"/>
      <c r="BI658" s="511"/>
      <c r="BJ658" s="380"/>
      <c r="BK658" s="380"/>
      <c r="BL658" s="380"/>
      <c r="BM658" s="380"/>
      <c r="BN658" s="380"/>
      <c r="BO658" s="380"/>
      <c r="BP658" s="380"/>
      <c r="BQ658" s="380"/>
      <c r="BR658" s="380"/>
    </row>
    <row r="659" spans="1:70" ht="12.75" customHeight="1" x14ac:dyDescent="0.25">
      <c r="A659" s="380"/>
      <c r="B659" s="380"/>
      <c r="C659" s="380"/>
      <c r="D659" s="380"/>
      <c r="E659" s="511"/>
      <c r="F659" s="511"/>
      <c r="G659" s="582"/>
      <c r="H659" s="511"/>
      <c r="I659" s="511"/>
      <c r="J659" s="582"/>
      <c r="K659" s="511"/>
      <c r="L659" s="511"/>
      <c r="M659" s="582"/>
      <c r="N659" s="582"/>
      <c r="O659" s="582"/>
      <c r="P659" s="582"/>
      <c r="Q659" s="511"/>
      <c r="R659" s="511"/>
      <c r="S659" s="511"/>
      <c r="T659" s="639"/>
      <c r="U659" s="511"/>
      <c r="V659" s="511"/>
      <c r="W659" s="511"/>
      <c r="X659" s="511"/>
      <c r="Y659" s="380"/>
      <c r="Z659" s="380"/>
      <c r="AA659" s="380"/>
      <c r="AB659" s="380"/>
      <c r="AC659" s="380"/>
      <c r="AD659" s="671"/>
      <c r="AE659" s="380"/>
      <c r="AF659" s="380"/>
      <c r="AG659" s="380"/>
      <c r="AH659" s="671"/>
      <c r="AI659" s="380"/>
      <c r="AJ659" s="583"/>
      <c r="AK659" s="583"/>
      <c r="AL659" s="511"/>
      <c r="AM659" s="584"/>
      <c r="AN659" s="584"/>
      <c r="AO659" s="584"/>
      <c r="AP659" s="671"/>
      <c r="AQ659" s="584"/>
      <c r="AR659" s="583"/>
      <c r="AS659" s="583"/>
      <c r="AT659" s="585"/>
      <c r="AU659" s="585"/>
      <c r="AV659" s="585"/>
      <c r="AW659" s="585"/>
      <c r="AX659" s="673"/>
      <c r="AY659" s="380"/>
      <c r="AZ659" s="380"/>
      <c r="BA659" s="380"/>
      <c r="BB659" s="380"/>
      <c r="BC659" s="380"/>
      <c r="BD659" s="380"/>
      <c r="BE659" s="380"/>
      <c r="BF659" s="380"/>
      <c r="BG659" s="380"/>
      <c r="BH659" s="380"/>
      <c r="BI659" s="511"/>
      <c r="BJ659" s="380"/>
      <c r="BK659" s="380"/>
      <c r="BL659" s="380"/>
      <c r="BM659" s="380"/>
      <c r="BN659" s="380"/>
      <c r="BO659" s="380"/>
      <c r="BP659" s="380"/>
      <c r="BQ659" s="380"/>
      <c r="BR659" s="380"/>
    </row>
    <row r="660" spans="1:70" ht="12.75" customHeight="1" x14ac:dyDescent="0.25">
      <c r="A660" s="380"/>
      <c r="B660" s="380"/>
      <c r="C660" s="380"/>
      <c r="D660" s="380"/>
      <c r="E660" s="511"/>
      <c r="F660" s="511"/>
      <c r="G660" s="582"/>
      <c r="H660" s="511"/>
      <c r="I660" s="511"/>
      <c r="J660" s="582"/>
      <c r="K660" s="511"/>
      <c r="L660" s="511"/>
      <c r="M660" s="582"/>
      <c r="N660" s="582"/>
      <c r="O660" s="582"/>
      <c r="P660" s="582"/>
      <c r="Q660" s="511"/>
      <c r="R660" s="511"/>
      <c r="S660" s="511"/>
      <c r="T660" s="639"/>
      <c r="U660" s="511"/>
      <c r="V660" s="511"/>
      <c r="W660" s="511"/>
      <c r="X660" s="511"/>
      <c r="Y660" s="380"/>
      <c r="Z660" s="380"/>
      <c r="AA660" s="380"/>
      <c r="AB660" s="380"/>
      <c r="AC660" s="380"/>
      <c r="AD660" s="671"/>
      <c r="AE660" s="380"/>
      <c r="AF660" s="380"/>
      <c r="AG660" s="380"/>
      <c r="AH660" s="671"/>
      <c r="AI660" s="380"/>
      <c r="AJ660" s="583"/>
      <c r="AK660" s="583"/>
      <c r="AL660" s="511"/>
      <c r="AM660" s="584"/>
      <c r="AN660" s="584"/>
      <c r="AO660" s="584"/>
      <c r="AP660" s="671"/>
      <c r="AQ660" s="584"/>
      <c r="AR660" s="583"/>
      <c r="AS660" s="583"/>
      <c r="AT660" s="585"/>
      <c r="AU660" s="585"/>
      <c r="AV660" s="585"/>
      <c r="AW660" s="585"/>
      <c r="AX660" s="673"/>
      <c r="AY660" s="380"/>
      <c r="AZ660" s="380"/>
      <c r="BA660" s="380"/>
      <c r="BB660" s="380"/>
      <c r="BC660" s="380"/>
      <c r="BD660" s="380"/>
      <c r="BE660" s="380"/>
      <c r="BF660" s="380"/>
      <c r="BG660" s="380"/>
      <c r="BH660" s="380"/>
      <c r="BI660" s="511"/>
      <c r="BJ660" s="380"/>
      <c r="BK660" s="380"/>
      <c r="BL660" s="380"/>
      <c r="BM660" s="380"/>
      <c r="BN660" s="380"/>
      <c r="BO660" s="380"/>
      <c r="BP660" s="380"/>
      <c r="BQ660" s="380"/>
      <c r="BR660" s="380"/>
    </row>
    <row r="661" spans="1:70" ht="12.75" customHeight="1" x14ac:dyDescent="0.25">
      <c r="A661" s="380"/>
      <c r="B661" s="380"/>
      <c r="C661" s="380"/>
      <c r="D661" s="380"/>
      <c r="E661" s="511"/>
      <c r="F661" s="511"/>
      <c r="G661" s="582"/>
      <c r="H661" s="511"/>
      <c r="I661" s="511"/>
      <c r="J661" s="582"/>
      <c r="K661" s="511"/>
      <c r="L661" s="511"/>
      <c r="M661" s="582"/>
      <c r="N661" s="582"/>
      <c r="O661" s="582"/>
      <c r="P661" s="582"/>
      <c r="Q661" s="511"/>
      <c r="R661" s="511"/>
      <c r="S661" s="511"/>
      <c r="T661" s="639"/>
      <c r="U661" s="511"/>
      <c r="V661" s="511"/>
      <c r="W661" s="511"/>
      <c r="X661" s="511"/>
      <c r="Y661" s="380"/>
      <c r="Z661" s="380"/>
      <c r="AA661" s="380"/>
      <c r="AB661" s="380"/>
      <c r="AC661" s="380"/>
      <c r="AD661" s="671"/>
      <c r="AE661" s="380"/>
      <c r="AF661" s="380"/>
      <c r="AG661" s="380"/>
      <c r="AH661" s="671"/>
      <c r="AI661" s="380"/>
      <c r="AJ661" s="583"/>
      <c r="AK661" s="583"/>
      <c r="AL661" s="511"/>
      <c r="AM661" s="584"/>
      <c r="AN661" s="584"/>
      <c r="AO661" s="584"/>
      <c r="AP661" s="671"/>
      <c r="AQ661" s="584"/>
      <c r="AR661" s="583"/>
      <c r="AS661" s="583"/>
      <c r="AT661" s="585"/>
      <c r="AU661" s="585"/>
      <c r="AV661" s="585"/>
      <c r="AW661" s="585"/>
      <c r="AX661" s="673"/>
      <c r="AY661" s="380"/>
      <c r="AZ661" s="380"/>
      <c r="BA661" s="380"/>
      <c r="BB661" s="380"/>
      <c r="BC661" s="380"/>
      <c r="BD661" s="380"/>
      <c r="BE661" s="380"/>
      <c r="BF661" s="380"/>
      <c r="BG661" s="380"/>
      <c r="BH661" s="380"/>
      <c r="BI661" s="511"/>
      <c r="BJ661" s="380"/>
      <c r="BK661" s="380"/>
      <c r="BL661" s="380"/>
      <c r="BM661" s="380"/>
      <c r="BN661" s="380"/>
      <c r="BO661" s="380"/>
      <c r="BP661" s="380"/>
      <c r="BQ661" s="380"/>
      <c r="BR661" s="380"/>
    </row>
    <row r="662" spans="1:70" ht="12.75" customHeight="1" x14ac:dyDescent="0.25">
      <c r="A662" s="380"/>
      <c r="B662" s="380"/>
      <c r="C662" s="380"/>
      <c r="D662" s="380"/>
      <c r="E662" s="511"/>
      <c r="F662" s="511"/>
      <c r="G662" s="582"/>
      <c r="H662" s="511"/>
      <c r="I662" s="511"/>
      <c r="J662" s="582"/>
      <c r="K662" s="511"/>
      <c r="L662" s="511"/>
      <c r="M662" s="582"/>
      <c r="N662" s="582"/>
      <c r="O662" s="582"/>
      <c r="P662" s="582"/>
      <c r="Q662" s="511"/>
      <c r="R662" s="511"/>
      <c r="S662" s="511"/>
      <c r="T662" s="639"/>
      <c r="U662" s="511"/>
      <c r="V662" s="511"/>
      <c r="W662" s="511"/>
      <c r="X662" s="511"/>
      <c r="Y662" s="380"/>
      <c r="Z662" s="380"/>
      <c r="AA662" s="380"/>
      <c r="AB662" s="380"/>
      <c r="AC662" s="380"/>
      <c r="AD662" s="671"/>
      <c r="AE662" s="380"/>
      <c r="AF662" s="380"/>
      <c r="AG662" s="380"/>
      <c r="AH662" s="671"/>
      <c r="AI662" s="380"/>
      <c r="AJ662" s="583"/>
      <c r="AK662" s="583"/>
      <c r="AL662" s="511"/>
      <c r="AM662" s="584"/>
      <c r="AN662" s="584"/>
      <c r="AO662" s="584"/>
      <c r="AP662" s="671"/>
      <c r="AQ662" s="584"/>
      <c r="AR662" s="583"/>
      <c r="AS662" s="583"/>
      <c r="AT662" s="585"/>
      <c r="AU662" s="585"/>
      <c r="AV662" s="585"/>
      <c r="AW662" s="585"/>
      <c r="AX662" s="673"/>
      <c r="AY662" s="380"/>
      <c r="AZ662" s="380"/>
      <c r="BA662" s="380"/>
      <c r="BB662" s="380"/>
      <c r="BC662" s="380"/>
      <c r="BD662" s="380"/>
      <c r="BE662" s="380"/>
      <c r="BF662" s="380"/>
      <c r="BG662" s="380"/>
      <c r="BH662" s="380"/>
      <c r="BI662" s="511"/>
      <c r="BJ662" s="380"/>
      <c r="BK662" s="380"/>
      <c r="BL662" s="380"/>
      <c r="BM662" s="380"/>
      <c r="BN662" s="380"/>
      <c r="BO662" s="380"/>
      <c r="BP662" s="380"/>
      <c r="BQ662" s="380"/>
      <c r="BR662" s="380"/>
    </row>
    <row r="663" spans="1:70" ht="12.75" customHeight="1" x14ac:dyDescent="0.25">
      <c r="A663" s="380"/>
      <c r="B663" s="380"/>
      <c r="C663" s="380"/>
      <c r="D663" s="380"/>
      <c r="E663" s="511"/>
      <c r="F663" s="511"/>
      <c r="G663" s="582"/>
      <c r="H663" s="511"/>
      <c r="I663" s="511"/>
      <c r="J663" s="582"/>
      <c r="K663" s="511"/>
      <c r="L663" s="511"/>
      <c r="M663" s="582"/>
      <c r="N663" s="582"/>
      <c r="O663" s="582"/>
      <c r="P663" s="582"/>
      <c r="Q663" s="511"/>
      <c r="R663" s="511"/>
      <c r="S663" s="511"/>
      <c r="T663" s="639"/>
      <c r="U663" s="511"/>
      <c r="V663" s="511"/>
      <c r="W663" s="511"/>
      <c r="X663" s="511"/>
      <c r="Y663" s="380"/>
      <c r="Z663" s="380"/>
      <c r="AA663" s="380"/>
      <c r="AB663" s="380"/>
      <c r="AC663" s="380"/>
      <c r="AD663" s="671"/>
      <c r="AE663" s="380"/>
      <c r="AF663" s="380"/>
      <c r="AG663" s="380"/>
      <c r="AH663" s="671"/>
      <c r="AI663" s="380"/>
      <c r="AJ663" s="583"/>
      <c r="AK663" s="583"/>
      <c r="AL663" s="511"/>
      <c r="AM663" s="584"/>
      <c r="AN663" s="584"/>
      <c r="AO663" s="584"/>
      <c r="AP663" s="671"/>
      <c r="AQ663" s="584"/>
      <c r="AR663" s="583"/>
      <c r="AS663" s="583"/>
      <c r="AT663" s="585"/>
      <c r="AU663" s="585"/>
      <c r="AV663" s="585"/>
      <c r="AW663" s="585"/>
      <c r="AX663" s="673"/>
      <c r="AY663" s="380"/>
      <c r="AZ663" s="380"/>
      <c r="BA663" s="380"/>
      <c r="BB663" s="380"/>
      <c r="BC663" s="380"/>
      <c r="BD663" s="380"/>
      <c r="BE663" s="380"/>
      <c r="BF663" s="380"/>
      <c r="BG663" s="380"/>
      <c r="BH663" s="380"/>
      <c r="BI663" s="511"/>
      <c r="BJ663" s="380"/>
      <c r="BK663" s="380"/>
      <c r="BL663" s="380"/>
      <c r="BM663" s="380"/>
      <c r="BN663" s="380"/>
      <c r="BO663" s="380"/>
      <c r="BP663" s="380"/>
      <c r="BQ663" s="380"/>
      <c r="BR663" s="380"/>
    </row>
    <row r="664" spans="1:70" ht="12.75" customHeight="1" x14ac:dyDescent="0.25">
      <c r="A664" s="380"/>
      <c r="B664" s="380"/>
      <c r="C664" s="380"/>
      <c r="D664" s="380"/>
      <c r="E664" s="511"/>
      <c r="F664" s="511"/>
      <c r="G664" s="582"/>
      <c r="H664" s="511"/>
      <c r="I664" s="511"/>
      <c r="J664" s="582"/>
      <c r="K664" s="511"/>
      <c r="L664" s="511"/>
      <c r="M664" s="582"/>
      <c r="N664" s="582"/>
      <c r="O664" s="582"/>
      <c r="P664" s="582"/>
      <c r="Q664" s="511"/>
      <c r="R664" s="511"/>
      <c r="S664" s="511"/>
      <c r="T664" s="639"/>
      <c r="U664" s="511"/>
      <c r="V664" s="511"/>
      <c r="W664" s="511"/>
      <c r="X664" s="511"/>
      <c r="Y664" s="380"/>
      <c r="Z664" s="380"/>
      <c r="AA664" s="380"/>
      <c r="AB664" s="380"/>
      <c r="AC664" s="380"/>
      <c r="AD664" s="671"/>
      <c r="AE664" s="380"/>
      <c r="AF664" s="380"/>
      <c r="AG664" s="380"/>
      <c r="AH664" s="671"/>
      <c r="AI664" s="380"/>
      <c r="AJ664" s="583"/>
      <c r="AK664" s="583"/>
      <c r="AL664" s="511"/>
      <c r="AM664" s="584"/>
      <c r="AN664" s="584"/>
      <c r="AO664" s="584"/>
      <c r="AP664" s="671"/>
      <c r="AQ664" s="584"/>
      <c r="AR664" s="583"/>
      <c r="AS664" s="583"/>
      <c r="AT664" s="585"/>
      <c r="AU664" s="585"/>
      <c r="AV664" s="585"/>
      <c r="AW664" s="585"/>
      <c r="AX664" s="673"/>
      <c r="AY664" s="380"/>
      <c r="AZ664" s="380"/>
      <c r="BA664" s="380"/>
      <c r="BB664" s="380"/>
      <c r="BC664" s="380"/>
      <c r="BD664" s="380"/>
      <c r="BE664" s="380"/>
      <c r="BF664" s="380"/>
      <c r="BG664" s="380"/>
      <c r="BH664" s="380"/>
      <c r="BI664" s="511"/>
      <c r="BJ664" s="380"/>
      <c r="BK664" s="380"/>
      <c r="BL664" s="380"/>
      <c r="BM664" s="380"/>
      <c r="BN664" s="380"/>
      <c r="BO664" s="380"/>
      <c r="BP664" s="380"/>
      <c r="BQ664" s="380"/>
      <c r="BR664" s="380"/>
    </row>
    <row r="665" spans="1:70" ht="12.75" customHeight="1" x14ac:dyDescent="0.25">
      <c r="A665" s="380"/>
      <c r="B665" s="380"/>
      <c r="C665" s="380"/>
      <c r="D665" s="380"/>
      <c r="E665" s="511"/>
      <c r="F665" s="511"/>
      <c r="G665" s="582"/>
      <c r="H665" s="511"/>
      <c r="I665" s="511"/>
      <c r="J665" s="582"/>
      <c r="K665" s="511"/>
      <c r="L665" s="511"/>
      <c r="M665" s="582"/>
      <c r="N665" s="582"/>
      <c r="O665" s="582"/>
      <c r="P665" s="582"/>
      <c r="Q665" s="511"/>
      <c r="R665" s="511"/>
      <c r="S665" s="511"/>
      <c r="T665" s="639"/>
      <c r="U665" s="511"/>
      <c r="V665" s="511"/>
      <c r="W665" s="511"/>
      <c r="X665" s="511"/>
      <c r="Y665" s="380"/>
      <c r="Z665" s="380"/>
      <c r="AA665" s="380"/>
      <c r="AB665" s="380"/>
      <c r="AC665" s="380"/>
      <c r="AD665" s="671"/>
      <c r="AE665" s="380"/>
      <c r="AF665" s="380"/>
      <c r="AG665" s="380"/>
      <c r="AH665" s="671"/>
      <c r="AI665" s="380"/>
      <c r="AJ665" s="583"/>
      <c r="AK665" s="583"/>
      <c r="AL665" s="511"/>
      <c r="AM665" s="584"/>
      <c r="AN665" s="584"/>
      <c r="AO665" s="584"/>
      <c r="AP665" s="671"/>
      <c r="AQ665" s="584"/>
      <c r="AR665" s="583"/>
      <c r="AS665" s="583"/>
      <c r="AT665" s="585"/>
      <c r="AU665" s="585"/>
      <c r="AV665" s="585"/>
      <c r="AW665" s="585"/>
      <c r="AX665" s="673"/>
      <c r="AY665" s="380"/>
      <c r="AZ665" s="380"/>
      <c r="BA665" s="380"/>
      <c r="BB665" s="380"/>
      <c r="BC665" s="380"/>
      <c r="BD665" s="380"/>
      <c r="BE665" s="380"/>
      <c r="BF665" s="380"/>
      <c r="BG665" s="380"/>
      <c r="BH665" s="380"/>
      <c r="BI665" s="511"/>
      <c r="BJ665" s="380"/>
      <c r="BK665" s="380"/>
      <c r="BL665" s="380"/>
      <c r="BM665" s="380"/>
      <c r="BN665" s="380"/>
      <c r="BO665" s="380"/>
      <c r="BP665" s="380"/>
      <c r="BQ665" s="380"/>
      <c r="BR665" s="380"/>
    </row>
    <row r="666" spans="1:70" ht="12.75" customHeight="1" x14ac:dyDescent="0.25">
      <c r="A666" s="380"/>
      <c r="B666" s="380"/>
      <c r="C666" s="380"/>
      <c r="D666" s="380"/>
      <c r="E666" s="511"/>
      <c r="F666" s="511"/>
      <c r="G666" s="582"/>
      <c r="H666" s="511"/>
      <c r="I666" s="511"/>
      <c r="J666" s="582"/>
      <c r="K666" s="511"/>
      <c r="L666" s="511"/>
      <c r="M666" s="582"/>
      <c r="N666" s="582"/>
      <c r="O666" s="582"/>
      <c r="P666" s="582"/>
      <c r="Q666" s="511"/>
      <c r="R666" s="511"/>
      <c r="S666" s="511"/>
      <c r="T666" s="639"/>
      <c r="U666" s="511"/>
      <c r="V666" s="511"/>
      <c r="W666" s="511"/>
      <c r="X666" s="511"/>
      <c r="Y666" s="380"/>
      <c r="Z666" s="380"/>
      <c r="AA666" s="380"/>
      <c r="AB666" s="380"/>
      <c r="AC666" s="380"/>
      <c r="AD666" s="671"/>
      <c r="AE666" s="380"/>
      <c r="AF666" s="380"/>
      <c r="AG666" s="380"/>
      <c r="AH666" s="671"/>
      <c r="AI666" s="380"/>
      <c r="AJ666" s="583"/>
      <c r="AK666" s="583"/>
      <c r="AL666" s="511"/>
      <c r="AM666" s="584"/>
      <c r="AN666" s="584"/>
      <c r="AO666" s="584"/>
      <c r="AP666" s="671"/>
      <c r="AQ666" s="584"/>
      <c r="AR666" s="583"/>
      <c r="AS666" s="583"/>
      <c r="AT666" s="585"/>
      <c r="AU666" s="585"/>
      <c r="AV666" s="585"/>
      <c r="AW666" s="585"/>
      <c r="AX666" s="673"/>
      <c r="AY666" s="380"/>
      <c r="AZ666" s="380"/>
      <c r="BA666" s="380"/>
      <c r="BB666" s="380"/>
      <c r="BC666" s="380"/>
      <c r="BD666" s="380"/>
      <c r="BE666" s="380"/>
      <c r="BF666" s="380"/>
      <c r="BG666" s="380"/>
      <c r="BH666" s="380"/>
      <c r="BI666" s="511"/>
      <c r="BJ666" s="380"/>
      <c r="BK666" s="380"/>
      <c r="BL666" s="380"/>
      <c r="BM666" s="380"/>
      <c r="BN666" s="380"/>
      <c r="BO666" s="380"/>
      <c r="BP666" s="380"/>
      <c r="BQ666" s="380"/>
      <c r="BR666" s="380"/>
    </row>
    <row r="667" spans="1:70" ht="12.75" customHeight="1" x14ac:dyDescent="0.25">
      <c r="A667" s="380"/>
      <c r="B667" s="380"/>
      <c r="C667" s="380"/>
      <c r="D667" s="380"/>
      <c r="E667" s="511"/>
      <c r="F667" s="511"/>
      <c r="G667" s="582"/>
      <c r="H667" s="511"/>
      <c r="I667" s="511"/>
      <c r="J667" s="582"/>
      <c r="K667" s="511"/>
      <c r="L667" s="511"/>
      <c r="M667" s="582"/>
      <c r="N667" s="582"/>
      <c r="O667" s="582"/>
      <c r="P667" s="582"/>
      <c r="Q667" s="511"/>
      <c r="R667" s="511"/>
      <c r="S667" s="511"/>
      <c r="T667" s="639"/>
      <c r="U667" s="511"/>
      <c r="V667" s="511"/>
      <c r="W667" s="511"/>
      <c r="X667" s="511"/>
      <c r="Y667" s="380"/>
      <c r="Z667" s="380"/>
      <c r="AA667" s="380"/>
      <c r="AB667" s="380"/>
      <c r="AC667" s="380"/>
      <c r="AD667" s="671"/>
      <c r="AE667" s="380"/>
      <c r="AF667" s="380"/>
      <c r="AG667" s="380"/>
      <c r="AH667" s="671"/>
      <c r="AI667" s="380"/>
      <c r="AJ667" s="583"/>
      <c r="AK667" s="583"/>
      <c r="AL667" s="511"/>
      <c r="AM667" s="584"/>
      <c r="AN667" s="584"/>
      <c r="AO667" s="584"/>
      <c r="AP667" s="671"/>
      <c r="AQ667" s="584"/>
      <c r="AR667" s="583"/>
      <c r="AS667" s="583"/>
      <c r="AT667" s="585"/>
      <c r="AU667" s="585"/>
      <c r="AV667" s="585"/>
      <c r="AW667" s="585"/>
      <c r="AX667" s="673"/>
      <c r="AY667" s="380"/>
      <c r="AZ667" s="380"/>
      <c r="BA667" s="380"/>
      <c r="BB667" s="380"/>
      <c r="BC667" s="380"/>
      <c r="BD667" s="380"/>
      <c r="BE667" s="380"/>
      <c r="BF667" s="380"/>
      <c r="BG667" s="380"/>
      <c r="BH667" s="380"/>
      <c r="BI667" s="511"/>
      <c r="BJ667" s="380"/>
      <c r="BK667" s="380"/>
      <c r="BL667" s="380"/>
      <c r="BM667" s="380"/>
      <c r="BN667" s="380"/>
      <c r="BO667" s="380"/>
      <c r="BP667" s="380"/>
      <c r="BQ667" s="380"/>
      <c r="BR667" s="380"/>
    </row>
    <row r="668" spans="1:70" ht="12.75" customHeight="1" x14ac:dyDescent="0.25">
      <c r="A668" s="380"/>
      <c r="B668" s="380"/>
      <c r="C668" s="380"/>
      <c r="D668" s="380"/>
      <c r="E668" s="511"/>
      <c r="F668" s="511"/>
      <c r="G668" s="582"/>
      <c r="H668" s="511"/>
      <c r="I668" s="511"/>
      <c r="J668" s="582"/>
      <c r="K668" s="511"/>
      <c r="L668" s="511"/>
      <c r="M668" s="582"/>
      <c r="N668" s="582"/>
      <c r="O668" s="582"/>
      <c r="P668" s="582"/>
      <c r="Q668" s="511"/>
      <c r="R668" s="511"/>
      <c r="S668" s="511"/>
      <c r="T668" s="639"/>
      <c r="U668" s="511"/>
      <c r="V668" s="511"/>
      <c r="W668" s="511"/>
      <c r="X668" s="511"/>
      <c r="Y668" s="380"/>
      <c r="Z668" s="380"/>
      <c r="AA668" s="380"/>
      <c r="AB668" s="380"/>
      <c r="AC668" s="380"/>
      <c r="AD668" s="671"/>
      <c r="AE668" s="380"/>
      <c r="AF668" s="380"/>
      <c r="AG668" s="380"/>
      <c r="AH668" s="671"/>
      <c r="AI668" s="380"/>
      <c r="AJ668" s="583"/>
      <c r="AK668" s="583"/>
      <c r="AL668" s="511"/>
      <c r="AM668" s="584"/>
      <c r="AN668" s="584"/>
      <c r="AO668" s="584"/>
      <c r="AP668" s="671"/>
      <c r="AQ668" s="584"/>
      <c r="AR668" s="583"/>
      <c r="AS668" s="583"/>
      <c r="AT668" s="585"/>
      <c r="AU668" s="585"/>
      <c r="AV668" s="585"/>
      <c r="AW668" s="585"/>
      <c r="AX668" s="673"/>
      <c r="AY668" s="380"/>
      <c r="AZ668" s="380"/>
      <c r="BA668" s="380"/>
      <c r="BB668" s="380"/>
      <c r="BC668" s="380"/>
      <c r="BD668" s="380"/>
      <c r="BE668" s="380"/>
      <c r="BF668" s="380"/>
      <c r="BG668" s="380"/>
      <c r="BH668" s="380"/>
      <c r="BI668" s="511"/>
      <c r="BJ668" s="380"/>
      <c r="BK668" s="380"/>
      <c r="BL668" s="380"/>
      <c r="BM668" s="380"/>
      <c r="BN668" s="380"/>
      <c r="BO668" s="380"/>
      <c r="BP668" s="380"/>
      <c r="BQ668" s="380"/>
      <c r="BR668" s="380"/>
    </row>
    <row r="669" spans="1:70" ht="12.75" customHeight="1" x14ac:dyDescent="0.25">
      <c r="A669" s="380"/>
      <c r="B669" s="380"/>
      <c r="C669" s="380"/>
      <c r="D669" s="380"/>
      <c r="E669" s="511"/>
      <c r="F669" s="511"/>
      <c r="G669" s="582"/>
      <c r="H669" s="511"/>
      <c r="I669" s="511"/>
      <c r="J669" s="582"/>
      <c r="K669" s="511"/>
      <c r="L669" s="511"/>
      <c r="M669" s="582"/>
      <c r="N669" s="582"/>
      <c r="O669" s="582"/>
      <c r="P669" s="582"/>
      <c r="Q669" s="511"/>
      <c r="R669" s="511"/>
      <c r="S669" s="511"/>
      <c r="T669" s="639"/>
      <c r="U669" s="511"/>
      <c r="V669" s="511"/>
      <c r="W669" s="511"/>
      <c r="X669" s="511"/>
      <c r="Y669" s="380"/>
      <c r="Z669" s="380"/>
      <c r="AA669" s="380"/>
      <c r="AB669" s="380"/>
      <c r="AC669" s="380"/>
      <c r="AD669" s="671"/>
      <c r="AE669" s="380"/>
      <c r="AF669" s="380"/>
      <c r="AG669" s="380"/>
      <c r="AH669" s="671"/>
      <c r="AI669" s="380"/>
      <c r="AJ669" s="583"/>
      <c r="AK669" s="583"/>
      <c r="AL669" s="511"/>
      <c r="AM669" s="584"/>
      <c r="AN669" s="584"/>
      <c r="AO669" s="584"/>
      <c r="AP669" s="671"/>
      <c r="AQ669" s="584"/>
      <c r="AR669" s="583"/>
      <c r="AS669" s="583"/>
      <c r="AT669" s="585"/>
      <c r="AU669" s="585"/>
      <c r="AV669" s="585"/>
      <c r="AW669" s="585"/>
      <c r="AX669" s="673"/>
      <c r="AY669" s="380"/>
      <c r="AZ669" s="380"/>
      <c r="BA669" s="380"/>
      <c r="BB669" s="380"/>
      <c r="BC669" s="380"/>
      <c r="BD669" s="380"/>
      <c r="BE669" s="380"/>
      <c r="BF669" s="380"/>
      <c r="BG669" s="380"/>
      <c r="BH669" s="380"/>
      <c r="BI669" s="511"/>
      <c r="BJ669" s="380"/>
      <c r="BK669" s="380"/>
      <c r="BL669" s="380"/>
      <c r="BM669" s="380"/>
      <c r="BN669" s="380"/>
      <c r="BO669" s="380"/>
      <c r="BP669" s="380"/>
      <c r="BQ669" s="380"/>
      <c r="BR669" s="380"/>
    </row>
    <row r="670" spans="1:70" ht="12.75" customHeight="1" x14ac:dyDescent="0.25">
      <c r="A670" s="380"/>
      <c r="B670" s="380"/>
      <c r="C670" s="380"/>
      <c r="D670" s="380"/>
      <c r="E670" s="511"/>
      <c r="F670" s="511"/>
      <c r="G670" s="582"/>
      <c r="H670" s="511"/>
      <c r="I670" s="511"/>
      <c r="J670" s="582"/>
      <c r="K670" s="511"/>
      <c r="L670" s="511"/>
      <c r="M670" s="582"/>
      <c r="N670" s="582"/>
      <c r="O670" s="582"/>
      <c r="P670" s="582"/>
      <c r="Q670" s="511"/>
      <c r="R670" s="511"/>
      <c r="S670" s="511"/>
      <c r="T670" s="639"/>
      <c r="U670" s="511"/>
      <c r="V670" s="511"/>
      <c r="W670" s="511"/>
      <c r="X670" s="511"/>
      <c r="Y670" s="380"/>
      <c r="Z670" s="380"/>
      <c r="AA670" s="380"/>
      <c r="AB670" s="380"/>
      <c r="AC670" s="380"/>
      <c r="AD670" s="671"/>
      <c r="AE670" s="380"/>
      <c r="AF670" s="380"/>
      <c r="AG670" s="380"/>
      <c r="AH670" s="671"/>
      <c r="AI670" s="380"/>
      <c r="AJ670" s="583"/>
      <c r="AK670" s="583"/>
      <c r="AL670" s="511"/>
      <c r="AM670" s="584"/>
      <c r="AN670" s="584"/>
      <c r="AO670" s="584"/>
      <c r="AP670" s="671"/>
      <c r="AQ670" s="584"/>
      <c r="AR670" s="583"/>
      <c r="AS670" s="583"/>
      <c r="AT670" s="585"/>
      <c r="AU670" s="585"/>
      <c r="AV670" s="585"/>
      <c r="AW670" s="585"/>
      <c r="AX670" s="673"/>
      <c r="AY670" s="380"/>
      <c r="AZ670" s="380"/>
      <c r="BA670" s="380"/>
      <c r="BB670" s="380"/>
      <c r="BC670" s="380"/>
      <c r="BD670" s="380"/>
      <c r="BE670" s="380"/>
      <c r="BF670" s="380"/>
      <c r="BG670" s="380"/>
      <c r="BH670" s="380"/>
      <c r="BI670" s="511"/>
      <c r="BJ670" s="380"/>
      <c r="BK670" s="380"/>
      <c r="BL670" s="380"/>
      <c r="BM670" s="380"/>
      <c r="BN670" s="380"/>
      <c r="BO670" s="380"/>
      <c r="BP670" s="380"/>
      <c r="BQ670" s="380"/>
      <c r="BR670" s="380"/>
    </row>
    <row r="671" spans="1:70" ht="12.75" customHeight="1" x14ac:dyDescent="0.25">
      <c r="A671" s="380"/>
      <c r="B671" s="380"/>
      <c r="C671" s="380"/>
      <c r="D671" s="380"/>
      <c r="E671" s="511"/>
      <c r="F671" s="511"/>
      <c r="G671" s="582"/>
      <c r="H671" s="511"/>
      <c r="I671" s="511"/>
      <c r="J671" s="582"/>
      <c r="K671" s="511"/>
      <c r="L671" s="511"/>
      <c r="M671" s="582"/>
      <c r="N671" s="582"/>
      <c r="O671" s="582"/>
      <c r="P671" s="582"/>
      <c r="Q671" s="511"/>
      <c r="R671" s="511"/>
      <c r="S671" s="511"/>
      <c r="T671" s="639"/>
      <c r="U671" s="511"/>
      <c r="V671" s="511"/>
      <c r="W671" s="511"/>
      <c r="X671" s="511"/>
      <c r="Y671" s="380"/>
      <c r="Z671" s="380"/>
      <c r="AA671" s="380"/>
      <c r="AB671" s="380"/>
      <c r="AC671" s="380"/>
      <c r="AD671" s="671"/>
      <c r="AE671" s="380"/>
      <c r="AF671" s="380"/>
      <c r="AG671" s="380"/>
      <c r="AH671" s="671"/>
      <c r="AI671" s="380"/>
      <c r="AJ671" s="583"/>
      <c r="AK671" s="583"/>
      <c r="AL671" s="511"/>
      <c r="AM671" s="584"/>
      <c r="AN671" s="584"/>
      <c r="AO671" s="584"/>
      <c r="AP671" s="671"/>
      <c r="AQ671" s="584"/>
      <c r="AR671" s="583"/>
      <c r="AS671" s="583"/>
      <c r="AT671" s="585"/>
      <c r="AU671" s="585"/>
      <c r="AV671" s="585"/>
      <c r="AW671" s="585"/>
      <c r="AX671" s="673"/>
      <c r="AY671" s="380"/>
      <c r="AZ671" s="380"/>
      <c r="BA671" s="380"/>
      <c r="BB671" s="380"/>
      <c r="BC671" s="380"/>
      <c r="BD671" s="380"/>
      <c r="BE671" s="380"/>
      <c r="BF671" s="380"/>
      <c r="BG671" s="380"/>
      <c r="BH671" s="380"/>
      <c r="BI671" s="511"/>
      <c r="BJ671" s="380"/>
      <c r="BK671" s="380"/>
      <c r="BL671" s="380"/>
      <c r="BM671" s="380"/>
      <c r="BN671" s="380"/>
      <c r="BO671" s="380"/>
      <c r="BP671" s="380"/>
      <c r="BQ671" s="380"/>
      <c r="BR671" s="380"/>
    </row>
    <row r="672" spans="1:70" ht="12.75" customHeight="1" x14ac:dyDescent="0.25">
      <c r="A672" s="380"/>
      <c r="B672" s="380"/>
      <c r="C672" s="380"/>
      <c r="D672" s="380"/>
      <c r="E672" s="511"/>
      <c r="F672" s="511"/>
      <c r="G672" s="582"/>
      <c r="H672" s="511"/>
      <c r="I672" s="511"/>
      <c r="J672" s="582"/>
      <c r="K672" s="511"/>
      <c r="L672" s="511"/>
      <c r="M672" s="582"/>
      <c r="N672" s="582"/>
      <c r="O672" s="582"/>
      <c r="P672" s="582"/>
      <c r="Q672" s="511"/>
      <c r="R672" s="511"/>
      <c r="S672" s="511"/>
      <c r="T672" s="639"/>
      <c r="U672" s="511"/>
      <c r="V672" s="511"/>
      <c r="W672" s="511"/>
      <c r="X672" s="511"/>
      <c r="Y672" s="380"/>
      <c r="Z672" s="380"/>
      <c r="AA672" s="380"/>
      <c r="AB672" s="380"/>
      <c r="AC672" s="380"/>
      <c r="AD672" s="671"/>
      <c r="AE672" s="380"/>
      <c r="AF672" s="380"/>
      <c r="AG672" s="380"/>
      <c r="AH672" s="671"/>
      <c r="AI672" s="380"/>
      <c r="AJ672" s="583"/>
      <c r="AK672" s="583"/>
      <c r="AL672" s="511"/>
      <c r="AM672" s="584"/>
      <c r="AN672" s="584"/>
      <c r="AO672" s="584"/>
      <c r="AP672" s="671"/>
      <c r="AQ672" s="584"/>
      <c r="AR672" s="583"/>
      <c r="AS672" s="583"/>
      <c r="AT672" s="585"/>
      <c r="AU672" s="585"/>
      <c r="AV672" s="585"/>
      <c r="AW672" s="585"/>
      <c r="AX672" s="673"/>
      <c r="AY672" s="380"/>
      <c r="AZ672" s="380"/>
      <c r="BA672" s="380"/>
      <c r="BB672" s="380"/>
      <c r="BC672" s="380"/>
      <c r="BD672" s="380"/>
      <c r="BE672" s="380"/>
      <c r="BF672" s="380"/>
      <c r="BG672" s="380"/>
      <c r="BH672" s="380"/>
      <c r="BI672" s="511"/>
      <c r="BJ672" s="380"/>
      <c r="BK672" s="380"/>
      <c r="BL672" s="380"/>
      <c r="BM672" s="380"/>
      <c r="BN672" s="380"/>
      <c r="BO672" s="380"/>
      <c r="BP672" s="380"/>
      <c r="BQ672" s="380"/>
      <c r="BR672" s="380"/>
    </row>
    <row r="673" spans="1:70" ht="12.75" customHeight="1" x14ac:dyDescent="0.25">
      <c r="A673" s="380"/>
      <c r="B673" s="380"/>
      <c r="C673" s="380"/>
      <c r="D673" s="380"/>
      <c r="E673" s="511"/>
      <c r="F673" s="511"/>
      <c r="G673" s="582"/>
      <c r="H673" s="511"/>
      <c r="I673" s="511"/>
      <c r="J673" s="582"/>
      <c r="K673" s="511"/>
      <c r="L673" s="511"/>
      <c r="M673" s="582"/>
      <c r="N673" s="582"/>
      <c r="O673" s="582"/>
      <c r="P673" s="582"/>
      <c r="Q673" s="511"/>
      <c r="R673" s="511"/>
      <c r="S673" s="511"/>
      <c r="T673" s="639"/>
      <c r="U673" s="511"/>
      <c r="V673" s="511"/>
      <c r="W673" s="511"/>
      <c r="X673" s="511"/>
      <c r="Y673" s="380"/>
      <c r="Z673" s="380"/>
      <c r="AA673" s="380"/>
      <c r="AB673" s="380"/>
      <c r="AC673" s="380"/>
      <c r="AD673" s="671"/>
      <c r="AE673" s="380"/>
      <c r="AF673" s="380"/>
      <c r="AG673" s="380"/>
      <c r="AH673" s="671"/>
      <c r="AI673" s="380"/>
      <c r="AJ673" s="583"/>
      <c r="AK673" s="583"/>
      <c r="AL673" s="511"/>
      <c r="AM673" s="584"/>
      <c r="AN673" s="584"/>
      <c r="AO673" s="584"/>
      <c r="AP673" s="671"/>
      <c r="AQ673" s="584"/>
      <c r="AR673" s="583"/>
      <c r="AS673" s="583"/>
      <c r="AT673" s="585"/>
      <c r="AU673" s="585"/>
      <c r="AV673" s="585"/>
      <c r="AW673" s="585"/>
      <c r="AX673" s="673"/>
      <c r="AY673" s="380"/>
      <c r="AZ673" s="380"/>
      <c r="BA673" s="380"/>
      <c r="BB673" s="380"/>
      <c r="BC673" s="380"/>
      <c r="BD673" s="380"/>
      <c r="BE673" s="380"/>
      <c r="BF673" s="380"/>
      <c r="BG673" s="380"/>
      <c r="BH673" s="380"/>
      <c r="BI673" s="511"/>
      <c r="BJ673" s="380"/>
      <c r="BK673" s="380"/>
      <c r="BL673" s="380"/>
      <c r="BM673" s="380"/>
      <c r="BN673" s="380"/>
      <c r="BO673" s="380"/>
      <c r="BP673" s="380"/>
      <c r="BQ673" s="380"/>
      <c r="BR673" s="380"/>
    </row>
    <row r="674" spans="1:70" ht="12.75" customHeight="1" x14ac:dyDescent="0.25">
      <c r="A674" s="380"/>
      <c r="B674" s="380"/>
      <c r="C674" s="380"/>
      <c r="D674" s="380"/>
      <c r="E674" s="511"/>
      <c r="F674" s="511"/>
      <c r="G674" s="582"/>
      <c r="H674" s="511"/>
      <c r="I674" s="511"/>
      <c r="J674" s="582"/>
      <c r="K674" s="511"/>
      <c r="L674" s="511"/>
      <c r="M674" s="582"/>
      <c r="N674" s="582"/>
      <c r="O674" s="582"/>
      <c r="P674" s="582"/>
      <c r="Q674" s="511"/>
      <c r="R674" s="511"/>
      <c r="S674" s="511"/>
      <c r="T674" s="639"/>
      <c r="U674" s="511"/>
      <c r="V674" s="511"/>
      <c r="W674" s="511"/>
      <c r="X674" s="511"/>
      <c r="Y674" s="380"/>
      <c r="Z674" s="380"/>
      <c r="AA674" s="380"/>
      <c r="AB674" s="380"/>
      <c r="AC674" s="380"/>
      <c r="AD674" s="671"/>
      <c r="AE674" s="380"/>
      <c r="AF674" s="380"/>
      <c r="AG674" s="380"/>
      <c r="AH674" s="671"/>
      <c r="AI674" s="380"/>
      <c r="AJ674" s="583"/>
      <c r="AK674" s="583"/>
      <c r="AL674" s="511"/>
      <c r="AM674" s="584"/>
      <c r="AN674" s="584"/>
      <c r="AO674" s="584"/>
      <c r="AP674" s="671"/>
      <c r="AQ674" s="584"/>
      <c r="AR674" s="583"/>
      <c r="AS674" s="583"/>
      <c r="AT674" s="585"/>
      <c r="AU674" s="585"/>
      <c r="AV674" s="585"/>
      <c r="AW674" s="585"/>
      <c r="AX674" s="673"/>
      <c r="AY674" s="380"/>
      <c r="AZ674" s="380"/>
      <c r="BA674" s="380"/>
      <c r="BB674" s="380"/>
      <c r="BC674" s="380"/>
      <c r="BD674" s="380"/>
      <c r="BE674" s="380"/>
      <c r="BF674" s="380"/>
      <c r="BG674" s="380"/>
      <c r="BH674" s="380"/>
      <c r="BI674" s="511"/>
      <c r="BJ674" s="380"/>
      <c r="BK674" s="380"/>
      <c r="BL674" s="380"/>
      <c r="BM674" s="380"/>
      <c r="BN674" s="380"/>
      <c r="BO674" s="380"/>
      <c r="BP674" s="380"/>
      <c r="BQ674" s="380"/>
      <c r="BR674" s="380"/>
    </row>
    <row r="675" spans="1:70" ht="12.75" customHeight="1" x14ac:dyDescent="0.25">
      <c r="A675" s="380"/>
      <c r="B675" s="380"/>
      <c r="C675" s="380"/>
      <c r="D675" s="380"/>
      <c r="E675" s="511"/>
      <c r="F675" s="511"/>
      <c r="G675" s="582"/>
      <c r="H675" s="511"/>
      <c r="I675" s="511"/>
      <c r="J675" s="582"/>
      <c r="K675" s="511"/>
      <c r="L675" s="511"/>
      <c r="M675" s="582"/>
      <c r="N675" s="582"/>
      <c r="O675" s="582"/>
      <c r="P675" s="582"/>
      <c r="Q675" s="511"/>
      <c r="R675" s="511"/>
      <c r="S675" s="511"/>
      <c r="T675" s="639"/>
      <c r="U675" s="511"/>
      <c r="V675" s="511"/>
      <c r="W675" s="511"/>
      <c r="X675" s="511"/>
      <c r="Y675" s="380"/>
      <c r="Z675" s="380"/>
      <c r="AA675" s="380"/>
      <c r="AB675" s="380"/>
      <c r="AC675" s="380"/>
      <c r="AD675" s="671"/>
      <c r="AE675" s="380"/>
      <c r="AF675" s="380"/>
      <c r="AG675" s="380"/>
      <c r="AH675" s="671"/>
      <c r="AI675" s="380"/>
      <c r="AJ675" s="583"/>
      <c r="AK675" s="583"/>
      <c r="AL675" s="511"/>
      <c r="AM675" s="584"/>
      <c r="AN675" s="584"/>
      <c r="AO675" s="584"/>
      <c r="AP675" s="671"/>
      <c r="AQ675" s="584"/>
      <c r="AR675" s="583"/>
      <c r="AS675" s="583"/>
      <c r="AT675" s="585"/>
      <c r="AU675" s="585"/>
      <c r="AV675" s="585"/>
      <c r="AW675" s="585"/>
      <c r="AX675" s="673"/>
      <c r="AY675" s="380"/>
      <c r="AZ675" s="380"/>
      <c r="BA675" s="380"/>
      <c r="BB675" s="380"/>
      <c r="BC675" s="380"/>
      <c r="BD675" s="380"/>
      <c r="BE675" s="380"/>
      <c r="BF675" s="380"/>
      <c r="BG675" s="380"/>
      <c r="BH675" s="380"/>
      <c r="BI675" s="511"/>
      <c r="BJ675" s="380"/>
      <c r="BK675" s="380"/>
      <c r="BL675" s="380"/>
      <c r="BM675" s="380"/>
      <c r="BN675" s="380"/>
      <c r="BO675" s="380"/>
      <c r="BP675" s="380"/>
      <c r="BQ675" s="380"/>
      <c r="BR675" s="380"/>
    </row>
    <row r="676" spans="1:70" ht="12.75" customHeight="1" x14ac:dyDescent="0.25">
      <c r="A676" s="380"/>
      <c r="B676" s="380"/>
      <c r="C676" s="380"/>
      <c r="D676" s="380"/>
      <c r="E676" s="511"/>
      <c r="F676" s="511"/>
      <c r="G676" s="582"/>
      <c r="H676" s="511"/>
      <c r="I676" s="511"/>
      <c r="J676" s="582"/>
      <c r="K676" s="511"/>
      <c r="L676" s="511"/>
      <c r="M676" s="582"/>
      <c r="N676" s="582"/>
      <c r="O676" s="582"/>
      <c r="P676" s="582"/>
      <c r="Q676" s="511"/>
      <c r="R676" s="511"/>
      <c r="S676" s="511"/>
      <c r="T676" s="639"/>
      <c r="U676" s="511"/>
      <c r="V676" s="511"/>
      <c r="W676" s="511"/>
      <c r="X676" s="511"/>
      <c r="Y676" s="380"/>
      <c r="Z676" s="380"/>
      <c r="AA676" s="380"/>
      <c r="AB676" s="380"/>
      <c r="AC676" s="380"/>
      <c r="AD676" s="671"/>
      <c r="AE676" s="380"/>
      <c r="AF676" s="380"/>
      <c r="AG676" s="380"/>
      <c r="AH676" s="671"/>
      <c r="AI676" s="380"/>
      <c r="AJ676" s="583"/>
      <c r="AK676" s="583"/>
      <c r="AL676" s="511"/>
      <c r="AM676" s="584"/>
      <c r="AN676" s="584"/>
      <c r="AO676" s="584"/>
      <c r="AP676" s="671"/>
      <c r="AQ676" s="584"/>
      <c r="AR676" s="583"/>
      <c r="AS676" s="583"/>
      <c r="AT676" s="585"/>
      <c r="AU676" s="585"/>
      <c r="AV676" s="585"/>
      <c r="AW676" s="585"/>
      <c r="AX676" s="673"/>
      <c r="AY676" s="380"/>
      <c r="AZ676" s="380"/>
      <c r="BA676" s="380"/>
      <c r="BB676" s="380"/>
      <c r="BC676" s="380"/>
      <c r="BD676" s="380"/>
      <c r="BE676" s="380"/>
      <c r="BF676" s="380"/>
      <c r="BG676" s="380"/>
      <c r="BH676" s="380"/>
      <c r="BI676" s="511"/>
      <c r="BJ676" s="380"/>
      <c r="BK676" s="380"/>
      <c r="BL676" s="380"/>
      <c r="BM676" s="380"/>
      <c r="BN676" s="380"/>
      <c r="BO676" s="380"/>
      <c r="BP676" s="380"/>
      <c r="BQ676" s="380"/>
      <c r="BR676" s="380"/>
    </row>
    <row r="677" spans="1:70" ht="12.75" customHeight="1" x14ac:dyDescent="0.25">
      <c r="A677" s="380"/>
      <c r="B677" s="380"/>
      <c r="C677" s="380"/>
      <c r="D677" s="380"/>
      <c r="E677" s="511"/>
      <c r="F677" s="511"/>
      <c r="G677" s="582"/>
      <c r="H677" s="511"/>
      <c r="I677" s="511"/>
      <c r="J677" s="582"/>
      <c r="K677" s="511"/>
      <c r="L677" s="511"/>
      <c r="M677" s="582"/>
      <c r="N677" s="582"/>
      <c r="O677" s="582"/>
      <c r="P677" s="582"/>
      <c r="Q677" s="511"/>
      <c r="R677" s="511"/>
      <c r="S677" s="511"/>
      <c r="T677" s="639"/>
      <c r="U677" s="511"/>
      <c r="V677" s="511"/>
      <c r="W677" s="511"/>
      <c r="X677" s="511"/>
      <c r="Y677" s="380"/>
      <c r="Z677" s="380"/>
      <c r="AA677" s="380"/>
      <c r="AB677" s="380"/>
      <c r="AC677" s="380"/>
      <c r="AD677" s="671"/>
      <c r="AE677" s="380"/>
      <c r="AF677" s="380"/>
      <c r="AG677" s="380"/>
      <c r="AH677" s="671"/>
      <c r="AI677" s="380"/>
      <c r="AJ677" s="583"/>
      <c r="AK677" s="583"/>
      <c r="AL677" s="511"/>
      <c r="AM677" s="584"/>
      <c r="AN677" s="584"/>
      <c r="AO677" s="584"/>
      <c r="AP677" s="671"/>
      <c r="AQ677" s="584"/>
      <c r="AR677" s="583"/>
      <c r="AS677" s="583"/>
      <c r="AT677" s="585"/>
      <c r="AU677" s="585"/>
      <c r="AV677" s="585"/>
      <c r="AW677" s="585"/>
      <c r="AX677" s="673"/>
      <c r="AY677" s="380"/>
      <c r="AZ677" s="380"/>
      <c r="BA677" s="380"/>
      <c r="BB677" s="380"/>
      <c r="BC677" s="380"/>
      <c r="BD677" s="380"/>
      <c r="BE677" s="380"/>
      <c r="BF677" s="380"/>
      <c r="BG677" s="380"/>
      <c r="BH677" s="380"/>
      <c r="BI677" s="511"/>
      <c r="BJ677" s="380"/>
      <c r="BK677" s="380"/>
      <c r="BL677" s="380"/>
      <c r="BM677" s="380"/>
      <c r="BN677" s="380"/>
      <c r="BO677" s="380"/>
      <c r="BP677" s="380"/>
      <c r="BQ677" s="380"/>
      <c r="BR677" s="380"/>
    </row>
    <row r="678" spans="1:70" ht="12.75" customHeight="1" x14ac:dyDescent="0.25">
      <c r="A678" s="380"/>
      <c r="B678" s="380"/>
      <c r="C678" s="380"/>
      <c r="D678" s="380"/>
      <c r="E678" s="511"/>
      <c r="F678" s="511"/>
      <c r="G678" s="582"/>
      <c r="H678" s="511"/>
      <c r="I678" s="511"/>
      <c r="J678" s="582"/>
      <c r="K678" s="511"/>
      <c r="L678" s="511"/>
      <c r="M678" s="582"/>
      <c r="N678" s="582"/>
      <c r="O678" s="582"/>
      <c r="P678" s="582"/>
      <c r="Q678" s="511"/>
      <c r="R678" s="511"/>
      <c r="S678" s="511"/>
      <c r="T678" s="639"/>
      <c r="U678" s="511"/>
      <c r="V678" s="511"/>
      <c r="W678" s="511"/>
      <c r="X678" s="511"/>
      <c r="Y678" s="380"/>
      <c r="Z678" s="380"/>
      <c r="AA678" s="380"/>
      <c r="AB678" s="380"/>
      <c r="AC678" s="380"/>
      <c r="AD678" s="671"/>
      <c r="AE678" s="380"/>
      <c r="AF678" s="380"/>
      <c r="AG678" s="380"/>
      <c r="AH678" s="671"/>
      <c r="AI678" s="380"/>
      <c r="AJ678" s="583"/>
      <c r="AK678" s="583"/>
      <c r="AL678" s="511"/>
      <c r="AM678" s="584"/>
      <c r="AN678" s="584"/>
      <c r="AO678" s="584"/>
      <c r="AP678" s="671"/>
      <c r="AQ678" s="584"/>
      <c r="AR678" s="583"/>
      <c r="AS678" s="583"/>
      <c r="AT678" s="585"/>
      <c r="AU678" s="585"/>
      <c r="AV678" s="585"/>
      <c r="AW678" s="585"/>
      <c r="AX678" s="673"/>
      <c r="AY678" s="380"/>
      <c r="AZ678" s="380"/>
      <c r="BA678" s="380"/>
      <c r="BB678" s="380"/>
      <c r="BC678" s="380"/>
      <c r="BD678" s="380"/>
      <c r="BE678" s="380"/>
      <c r="BF678" s="380"/>
      <c r="BG678" s="380"/>
      <c r="BH678" s="380"/>
      <c r="BI678" s="511"/>
      <c r="BJ678" s="380"/>
      <c r="BK678" s="380"/>
      <c r="BL678" s="380"/>
      <c r="BM678" s="380"/>
      <c r="BN678" s="380"/>
      <c r="BO678" s="380"/>
      <c r="BP678" s="380"/>
      <c r="BQ678" s="380"/>
      <c r="BR678" s="380"/>
    </row>
    <row r="679" spans="1:70" ht="12.75" customHeight="1" x14ac:dyDescent="0.25">
      <c r="A679" s="380"/>
      <c r="B679" s="380"/>
      <c r="C679" s="380"/>
      <c r="D679" s="380"/>
      <c r="E679" s="511"/>
      <c r="F679" s="511"/>
      <c r="G679" s="582"/>
      <c r="H679" s="511"/>
      <c r="I679" s="511"/>
      <c r="J679" s="582"/>
      <c r="K679" s="511"/>
      <c r="L679" s="511"/>
      <c r="M679" s="582"/>
      <c r="N679" s="582"/>
      <c r="O679" s="582"/>
      <c r="P679" s="582"/>
      <c r="Q679" s="511"/>
      <c r="R679" s="511"/>
      <c r="S679" s="511"/>
      <c r="T679" s="639"/>
      <c r="U679" s="511"/>
      <c r="V679" s="511"/>
      <c r="W679" s="511"/>
      <c r="X679" s="511"/>
      <c r="Y679" s="380"/>
      <c r="Z679" s="380"/>
      <c r="AA679" s="380"/>
      <c r="AB679" s="380"/>
      <c r="AC679" s="380"/>
      <c r="AD679" s="671"/>
      <c r="AE679" s="380"/>
      <c r="AF679" s="380"/>
      <c r="AG679" s="380"/>
      <c r="AH679" s="671"/>
      <c r="AI679" s="380"/>
      <c r="AJ679" s="583"/>
      <c r="AK679" s="583"/>
      <c r="AL679" s="511"/>
      <c r="AM679" s="584"/>
      <c r="AN679" s="584"/>
      <c r="AO679" s="584"/>
      <c r="AP679" s="671"/>
      <c r="AQ679" s="584"/>
      <c r="AR679" s="583"/>
      <c r="AS679" s="583"/>
      <c r="AT679" s="585"/>
      <c r="AU679" s="585"/>
      <c r="AV679" s="585"/>
      <c r="AW679" s="585"/>
      <c r="AX679" s="673"/>
      <c r="AY679" s="380"/>
      <c r="AZ679" s="380"/>
      <c r="BA679" s="380"/>
      <c r="BB679" s="380"/>
      <c r="BC679" s="380"/>
      <c r="BD679" s="380"/>
      <c r="BE679" s="380"/>
      <c r="BF679" s="380"/>
      <c r="BG679" s="380"/>
      <c r="BH679" s="380"/>
      <c r="BI679" s="511"/>
      <c r="BJ679" s="380"/>
      <c r="BK679" s="380"/>
      <c r="BL679" s="380"/>
      <c r="BM679" s="380"/>
      <c r="BN679" s="380"/>
      <c r="BO679" s="380"/>
      <c r="BP679" s="380"/>
      <c r="BQ679" s="380"/>
      <c r="BR679" s="380"/>
    </row>
    <row r="680" spans="1:70" ht="12.75" customHeight="1" x14ac:dyDescent="0.25">
      <c r="A680" s="380"/>
      <c r="B680" s="380"/>
      <c r="C680" s="380"/>
      <c r="D680" s="380"/>
      <c r="E680" s="511"/>
      <c r="F680" s="511"/>
      <c r="G680" s="582"/>
      <c r="H680" s="511"/>
      <c r="I680" s="511"/>
      <c r="J680" s="582"/>
      <c r="K680" s="511"/>
      <c r="L680" s="511"/>
      <c r="M680" s="582"/>
      <c r="N680" s="582"/>
      <c r="O680" s="582"/>
      <c r="P680" s="582"/>
      <c r="Q680" s="511"/>
      <c r="R680" s="511"/>
      <c r="S680" s="511"/>
      <c r="T680" s="639"/>
      <c r="U680" s="511"/>
      <c r="V680" s="511"/>
      <c r="W680" s="511"/>
      <c r="X680" s="511"/>
      <c r="Y680" s="380"/>
      <c r="Z680" s="380"/>
      <c r="AA680" s="380"/>
      <c r="AB680" s="380"/>
      <c r="AC680" s="380"/>
      <c r="AD680" s="671"/>
      <c r="AE680" s="380"/>
      <c r="AF680" s="380"/>
      <c r="AG680" s="380"/>
      <c r="AH680" s="671"/>
      <c r="AI680" s="380"/>
      <c r="AJ680" s="583"/>
      <c r="AK680" s="583"/>
      <c r="AL680" s="511"/>
      <c r="AM680" s="584"/>
      <c r="AN680" s="584"/>
      <c r="AO680" s="584"/>
      <c r="AP680" s="671"/>
      <c r="AQ680" s="584"/>
      <c r="AR680" s="583"/>
      <c r="AS680" s="583"/>
      <c r="AT680" s="585"/>
      <c r="AU680" s="585"/>
      <c r="AV680" s="585"/>
      <c r="AW680" s="585"/>
      <c r="AX680" s="673"/>
      <c r="AY680" s="380"/>
      <c r="AZ680" s="380"/>
      <c r="BA680" s="380"/>
      <c r="BB680" s="380"/>
      <c r="BC680" s="380"/>
      <c r="BD680" s="380"/>
      <c r="BE680" s="380"/>
      <c r="BF680" s="380"/>
      <c r="BG680" s="380"/>
      <c r="BH680" s="380"/>
      <c r="BI680" s="511"/>
      <c r="BJ680" s="380"/>
      <c r="BK680" s="380"/>
      <c r="BL680" s="380"/>
      <c r="BM680" s="380"/>
      <c r="BN680" s="380"/>
      <c r="BO680" s="380"/>
      <c r="BP680" s="380"/>
      <c r="BQ680" s="380"/>
      <c r="BR680" s="380"/>
    </row>
    <row r="681" spans="1:70" ht="12.75" customHeight="1" x14ac:dyDescent="0.25">
      <c r="A681" s="380"/>
      <c r="B681" s="380"/>
      <c r="C681" s="380"/>
      <c r="D681" s="380"/>
      <c r="E681" s="511"/>
      <c r="F681" s="511"/>
      <c r="G681" s="582"/>
      <c r="H681" s="511"/>
      <c r="I681" s="511"/>
      <c r="J681" s="582"/>
      <c r="K681" s="511"/>
      <c r="L681" s="511"/>
      <c r="M681" s="582"/>
      <c r="N681" s="582"/>
      <c r="O681" s="582"/>
      <c r="P681" s="582"/>
      <c r="Q681" s="511"/>
      <c r="R681" s="511"/>
      <c r="S681" s="511"/>
      <c r="T681" s="639"/>
      <c r="U681" s="511"/>
      <c r="V681" s="511"/>
      <c r="W681" s="511"/>
      <c r="X681" s="511"/>
      <c r="Y681" s="380"/>
      <c r="Z681" s="380"/>
      <c r="AA681" s="380"/>
      <c r="AB681" s="380"/>
      <c r="AC681" s="380"/>
      <c r="AD681" s="671"/>
      <c r="AE681" s="380"/>
      <c r="AF681" s="380"/>
      <c r="AG681" s="380"/>
      <c r="AH681" s="671"/>
      <c r="AI681" s="380"/>
      <c r="AJ681" s="583"/>
      <c r="AK681" s="583"/>
      <c r="AL681" s="511"/>
      <c r="AM681" s="584"/>
      <c r="AN681" s="584"/>
      <c r="AO681" s="584"/>
      <c r="AP681" s="671"/>
      <c r="AQ681" s="584"/>
      <c r="AR681" s="583"/>
      <c r="AS681" s="583"/>
      <c r="AT681" s="585"/>
      <c r="AU681" s="585"/>
      <c r="AV681" s="585"/>
      <c r="AW681" s="585"/>
      <c r="AX681" s="673"/>
      <c r="AY681" s="380"/>
      <c r="AZ681" s="380"/>
      <c r="BA681" s="380"/>
      <c r="BB681" s="380"/>
      <c r="BC681" s="380"/>
      <c r="BD681" s="380"/>
      <c r="BE681" s="380"/>
      <c r="BF681" s="380"/>
      <c r="BG681" s="380"/>
      <c r="BH681" s="380"/>
      <c r="BI681" s="511"/>
      <c r="BJ681" s="380"/>
      <c r="BK681" s="380"/>
      <c r="BL681" s="380"/>
      <c r="BM681" s="380"/>
      <c r="BN681" s="380"/>
      <c r="BO681" s="380"/>
      <c r="BP681" s="380"/>
      <c r="BQ681" s="380"/>
      <c r="BR681" s="380"/>
    </row>
    <row r="682" spans="1:70" ht="12.75" customHeight="1" x14ac:dyDescent="0.25">
      <c r="A682" s="380"/>
      <c r="B682" s="380"/>
      <c r="C682" s="380"/>
      <c r="D682" s="380"/>
      <c r="E682" s="511"/>
      <c r="F682" s="511"/>
      <c r="G682" s="582"/>
      <c r="H682" s="511"/>
      <c r="I682" s="511"/>
      <c r="J682" s="582"/>
      <c r="K682" s="511"/>
      <c r="L682" s="511"/>
      <c r="M682" s="582"/>
      <c r="N682" s="582"/>
      <c r="O682" s="582"/>
      <c r="P682" s="582"/>
      <c r="Q682" s="511"/>
      <c r="R682" s="511"/>
      <c r="S682" s="511"/>
      <c r="T682" s="639"/>
      <c r="U682" s="511"/>
      <c r="V682" s="511"/>
      <c r="W682" s="511"/>
      <c r="X682" s="511"/>
      <c r="Y682" s="380"/>
      <c r="Z682" s="380"/>
      <c r="AA682" s="380"/>
      <c r="AB682" s="380"/>
      <c r="AC682" s="380"/>
      <c r="AD682" s="671"/>
      <c r="AE682" s="380"/>
      <c r="AF682" s="380"/>
      <c r="AG682" s="380"/>
      <c r="AH682" s="671"/>
      <c r="AI682" s="380"/>
      <c r="AJ682" s="583"/>
      <c r="AK682" s="583"/>
      <c r="AL682" s="511"/>
      <c r="AM682" s="584"/>
      <c r="AN682" s="584"/>
      <c r="AO682" s="584"/>
      <c r="AP682" s="671"/>
      <c r="AQ682" s="584"/>
      <c r="AR682" s="583"/>
      <c r="AS682" s="583"/>
      <c r="AT682" s="585"/>
      <c r="AU682" s="585"/>
      <c r="AV682" s="585"/>
      <c r="AW682" s="585"/>
      <c r="AX682" s="673"/>
      <c r="AY682" s="380"/>
      <c r="AZ682" s="380"/>
      <c r="BA682" s="380"/>
      <c r="BB682" s="380"/>
      <c r="BC682" s="380"/>
      <c r="BD682" s="380"/>
      <c r="BE682" s="380"/>
      <c r="BF682" s="380"/>
      <c r="BG682" s="380"/>
      <c r="BH682" s="380"/>
      <c r="BI682" s="511"/>
      <c r="BJ682" s="380"/>
      <c r="BK682" s="380"/>
      <c r="BL682" s="380"/>
      <c r="BM682" s="380"/>
      <c r="BN682" s="380"/>
      <c r="BO682" s="380"/>
      <c r="BP682" s="380"/>
      <c r="BQ682" s="380"/>
      <c r="BR682" s="380"/>
    </row>
    <row r="683" spans="1:70" ht="12.75" customHeight="1" x14ac:dyDescent="0.25">
      <c r="A683" s="380"/>
      <c r="B683" s="380"/>
      <c r="C683" s="380"/>
      <c r="D683" s="380"/>
      <c r="E683" s="511"/>
      <c r="F683" s="511"/>
      <c r="G683" s="582"/>
      <c r="H683" s="511"/>
      <c r="I683" s="511"/>
      <c r="J683" s="582"/>
      <c r="K683" s="511"/>
      <c r="L683" s="511"/>
      <c r="M683" s="582"/>
      <c r="N683" s="582"/>
      <c r="O683" s="582"/>
      <c r="P683" s="582"/>
      <c r="Q683" s="511"/>
      <c r="R683" s="511"/>
      <c r="S683" s="511"/>
      <c r="T683" s="639"/>
      <c r="U683" s="511"/>
      <c r="V683" s="511"/>
      <c r="W683" s="511"/>
      <c r="X683" s="511"/>
      <c r="Y683" s="380"/>
      <c r="Z683" s="380"/>
      <c r="AA683" s="380"/>
      <c r="AB683" s="380"/>
      <c r="AC683" s="380"/>
      <c r="AD683" s="671"/>
      <c r="AE683" s="380"/>
      <c r="AF683" s="380"/>
      <c r="AG683" s="380"/>
      <c r="AH683" s="671"/>
      <c r="AI683" s="380"/>
      <c r="AJ683" s="583"/>
      <c r="AK683" s="583"/>
      <c r="AL683" s="511"/>
      <c r="AM683" s="584"/>
      <c r="AN683" s="584"/>
      <c r="AO683" s="584"/>
      <c r="AP683" s="671"/>
      <c r="AQ683" s="584"/>
      <c r="AR683" s="583"/>
      <c r="AS683" s="583"/>
      <c r="AT683" s="585"/>
      <c r="AU683" s="585"/>
      <c r="AV683" s="585"/>
      <c r="AW683" s="585"/>
      <c r="AX683" s="673"/>
      <c r="AY683" s="380"/>
      <c r="AZ683" s="380"/>
      <c r="BA683" s="380"/>
      <c r="BB683" s="380"/>
      <c r="BC683" s="380"/>
      <c r="BD683" s="380"/>
      <c r="BE683" s="380"/>
      <c r="BF683" s="380"/>
      <c r="BG683" s="380"/>
      <c r="BH683" s="380"/>
      <c r="BI683" s="511"/>
      <c r="BJ683" s="380"/>
      <c r="BK683" s="380"/>
      <c r="BL683" s="380"/>
      <c r="BM683" s="380"/>
      <c r="BN683" s="380"/>
      <c r="BO683" s="380"/>
      <c r="BP683" s="380"/>
      <c r="BQ683" s="380"/>
      <c r="BR683" s="380"/>
    </row>
    <row r="684" spans="1:70" ht="12.75" customHeight="1" x14ac:dyDescent="0.25">
      <c r="A684" s="380"/>
      <c r="B684" s="380"/>
      <c r="C684" s="380"/>
      <c r="D684" s="380"/>
      <c r="E684" s="511"/>
      <c r="F684" s="511"/>
      <c r="G684" s="582"/>
      <c r="H684" s="511"/>
      <c r="I684" s="511"/>
      <c r="J684" s="582"/>
      <c r="K684" s="511"/>
      <c r="L684" s="511"/>
      <c r="M684" s="582"/>
      <c r="N684" s="582"/>
      <c r="O684" s="582"/>
      <c r="P684" s="582"/>
      <c r="Q684" s="511"/>
      <c r="R684" s="511"/>
      <c r="S684" s="511"/>
      <c r="T684" s="639"/>
      <c r="U684" s="511"/>
      <c r="V684" s="511"/>
      <c r="W684" s="511"/>
      <c r="X684" s="511"/>
      <c r="Y684" s="380"/>
      <c r="Z684" s="380"/>
      <c r="AA684" s="380"/>
      <c r="AB684" s="380"/>
      <c r="AC684" s="380"/>
      <c r="AD684" s="671"/>
      <c r="AE684" s="380"/>
      <c r="AF684" s="380"/>
      <c r="AG684" s="380"/>
      <c r="AH684" s="671"/>
      <c r="AI684" s="380"/>
      <c r="AJ684" s="583"/>
      <c r="AK684" s="583"/>
      <c r="AL684" s="511"/>
      <c r="AM684" s="584"/>
      <c r="AN684" s="584"/>
      <c r="AO684" s="584"/>
      <c r="AP684" s="671"/>
      <c r="AQ684" s="584"/>
      <c r="AR684" s="583"/>
      <c r="AS684" s="583"/>
      <c r="AT684" s="585"/>
      <c r="AU684" s="585"/>
      <c r="AV684" s="585"/>
      <c r="AW684" s="585"/>
      <c r="AX684" s="673"/>
      <c r="AY684" s="380"/>
      <c r="AZ684" s="380"/>
      <c r="BA684" s="380"/>
      <c r="BB684" s="380"/>
      <c r="BC684" s="380"/>
      <c r="BD684" s="380"/>
      <c r="BE684" s="380"/>
      <c r="BF684" s="380"/>
      <c r="BG684" s="380"/>
      <c r="BH684" s="380"/>
      <c r="BI684" s="511"/>
      <c r="BJ684" s="380"/>
      <c r="BK684" s="380"/>
      <c r="BL684" s="380"/>
      <c r="BM684" s="380"/>
      <c r="BN684" s="380"/>
      <c r="BO684" s="380"/>
      <c r="BP684" s="380"/>
      <c r="BQ684" s="380"/>
      <c r="BR684" s="380"/>
    </row>
    <row r="685" spans="1:70" ht="12.75" customHeight="1" x14ac:dyDescent="0.25">
      <c r="A685" s="380"/>
      <c r="B685" s="380"/>
      <c r="C685" s="380"/>
      <c r="D685" s="380"/>
      <c r="E685" s="511"/>
      <c r="F685" s="511"/>
      <c r="G685" s="582"/>
      <c r="H685" s="511"/>
      <c r="I685" s="511"/>
      <c r="J685" s="582"/>
      <c r="K685" s="511"/>
      <c r="L685" s="511"/>
      <c r="M685" s="582"/>
      <c r="N685" s="582"/>
      <c r="O685" s="582"/>
      <c r="P685" s="582"/>
      <c r="Q685" s="511"/>
      <c r="R685" s="511"/>
      <c r="S685" s="511"/>
      <c r="T685" s="639"/>
      <c r="U685" s="511"/>
      <c r="V685" s="511"/>
      <c r="W685" s="511"/>
      <c r="X685" s="511"/>
      <c r="Y685" s="380"/>
      <c r="Z685" s="380"/>
      <c r="AA685" s="380"/>
      <c r="AB685" s="380"/>
      <c r="AC685" s="380"/>
      <c r="AD685" s="671"/>
      <c r="AE685" s="380"/>
      <c r="AF685" s="380"/>
      <c r="AG685" s="380"/>
      <c r="AH685" s="671"/>
      <c r="AI685" s="380"/>
      <c r="AJ685" s="583"/>
      <c r="AK685" s="583"/>
      <c r="AL685" s="511"/>
      <c r="AM685" s="584"/>
      <c r="AN685" s="584"/>
      <c r="AO685" s="584"/>
      <c r="AP685" s="671"/>
      <c r="AQ685" s="584"/>
      <c r="AR685" s="583"/>
      <c r="AS685" s="583"/>
      <c r="AT685" s="585"/>
      <c r="AU685" s="585"/>
      <c r="AV685" s="585"/>
      <c r="AW685" s="585"/>
      <c r="AX685" s="673"/>
      <c r="AY685" s="380"/>
      <c r="AZ685" s="380"/>
      <c r="BA685" s="380"/>
      <c r="BB685" s="380"/>
      <c r="BC685" s="380"/>
      <c r="BD685" s="380"/>
      <c r="BE685" s="380"/>
      <c r="BF685" s="380"/>
      <c r="BG685" s="380"/>
      <c r="BH685" s="380"/>
      <c r="BI685" s="511"/>
      <c r="BJ685" s="380"/>
      <c r="BK685" s="380"/>
      <c r="BL685" s="380"/>
      <c r="BM685" s="380"/>
      <c r="BN685" s="380"/>
      <c r="BO685" s="380"/>
      <c r="BP685" s="380"/>
      <c r="BQ685" s="380"/>
      <c r="BR685" s="380"/>
    </row>
    <row r="686" spans="1:70" ht="12.75" customHeight="1" x14ac:dyDescent="0.25">
      <c r="A686" s="380"/>
      <c r="B686" s="380"/>
      <c r="C686" s="380"/>
      <c r="D686" s="380"/>
      <c r="E686" s="511"/>
      <c r="F686" s="511"/>
      <c r="G686" s="582"/>
      <c r="H686" s="511"/>
      <c r="I686" s="511"/>
      <c r="J686" s="582"/>
      <c r="K686" s="511"/>
      <c r="L686" s="511"/>
      <c r="M686" s="582"/>
      <c r="N686" s="582"/>
      <c r="O686" s="582"/>
      <c r="P686" s="582"/>
      <c r="Q686" s="511"/>
      <c r="R686" s="511"/>
      <c r="S686" s="511"/>
      <c r="T686" s="639"/>
      <c r="U686" s="511"/>
      <c r="V686" s="511"/>
      <c r="W686" s="511"/>
      <c r="X686" s="511"/>
      <c r="Y686" s="380"/>
      <c r="Z686" s="380"/>
      <c r="AA686" s="380"/>
      <c r="AB686" s="380"/>
      <c r="AC686" s="380"/>
      <c r="AD686" s="671"/>
      <c r="AE686" s="380"/>
      <c r="AF686" s="380"/>
      <c r="AG686" s="380"/>
      <c r="AH686" s="671"/>
      <c r="AI686" s="380"/>
      <c r="AJ686" s="583"/>
      <c r="AK686" s="583"/>
      <c r="AL686" s="511"/>
      <c r="AM686" s="584"/>
      <c r="AN686" s="584"/>
      <c r="AO686" s="584"/>
      <c r="AP686" s="671"/>
      <c r="AQ686" s="584"/>
      <c r="AR686" s="583"/>
      <c r="AS686" s="583"/>
      <c r="AT686" s="585"/>
      <c r="AU686" s="585"/>
      <c r="AV686" s="585"/>
      <c r="AW686" s="585"/>
      <c r="AX686" s="673"/>
      <c r="AY686" s="380"/>
      <c r="AZ686" s="380"/>
      <c r="BA686" s="380"/>
      <c r="BB686" s="380"/>
      <c r="BC686" s="380"/>
      <c r="BD686" s="380"/>
      <c r="BE686" s="380"/>
      <c r="BF686" s="380"/>
      <c r="BG686" s="380"/>
      <c r="BH686" s="380"/>
      <c r="BI686" s="511"/>
      <c r="BJ686" s="380"/>
      <c r="BK686" s="380"/>
      <c r="BL686" s="380"/>
      <c r="BM686" s="380"/>
      <c r="BN686" s="380"/>
      <c r="BO686" s="380"/>
      <c r="BP686" s="380"/>
      <c r="BQ686" s="380"/>
      <c r="BR686" s="380"/>
    </row>
    <row r="687" spans="1:70" ht="12.75" customHeight="1" x14ac:dyDescent="0.25">
      <c r="A687" s="380"/>
      <c r="B687" s="380"/>
      <c r="C687" s="380"/>
      <c r="D687" s="380"/>
      <c r="E687" s="511"/>
      <c r="F687" s="511"/>
      <c r="G687" s="582"/>
      <c r="H687" s="511"/>
      <c r="I687" s="511"/>
      <c r="J687" s="582"/>
      <c r="K687" s="511"/>
      <c r="L687" s="511"/>
      <c r="M687" s="582"/>
      <c r="N687" s="582"/>
      <c r="O687" s="582"/>
      <c r="P687" s="582"/>
      <c r="Q687" s="511"/>
      <c r="R687" s="511"/>
      <c r="S687" s="511"/>
      <c r="T687" s="639"/>
      <c r="U687" s="511"/>
      <c r="V687" s="511"/>
      <c r="W687" s="511"/>
      <c r="X687" s="511"/>
      <c r="Y687" s="380"/>
      <c r="Z687" s="380"/>
      <c r="AA687" s="380"/>
      <c r="AB687" s="380"/>
      <c r="AC687" s="380"/>
      <c r="AD687" s="671"/>
      <c r="AE687" s="380"/>
      <c r="AF687" s="380"/>
      <c r="AG687" s="380"/>
      <c r="AH687" s="671"/>
      <c r="AI687" s="380"/>
      <c r="AJ687" s="583"/>
      <c r="AK687" s="583"/>
      <c r="AL687" s="511"/>
      <c r="AM687" s="584"/>
      <c r="AN687" s="584"/>
      <c r="AO687" s="584"/>
      <c r="AP687" s="671"/>
      <c r="AQ687" s="584"/>
      <c r="AR687" s="583"/>
      <c r="AS687" s="583"/>
      <c r="AT687" s="585"/>
      <c r="AU687" s="585"/>
      <c r="AV687" s="585"/>
      <c r="AW687" s="585"/>
      <c r="AX687" s="673"/>
      <c r="AY687" s="380"/>
      <c r="AZ687" s="380"/>
      <c r="BA687" s="380"/>
      <c r="BB687" s="380"/>
      <c r="BC687" s="380"/>
      <c r="BD687" s="380"/>
      <c r="BE687" s="380"/>
      <c r="BF687" s="380"/>
      <c r="BG687" s="380"/>
      <c r="BH687" s="380"/>
      <c r="BI687" s="511"/>
      <c r="BJ687" s="380"/>
      <c r="BK687" s="380"/>
      <c r="BL687" s="380"/>
      <c r="BM687" s="380"/>
      <c r="BN687" s="380"/>
      <c r="BO687" s="380"/>
      <c r="BP687" s="380"/>
      <c r="BQ687" s="380"/>
      <c r="BR687" s="380"/>
    </row>
    <row r="688" spans="1:70" ht="12.75" customHeight="1" x14ac:dyDescent="0.25">
      <c r="A688" s="380"/>
      <c r="B688" s="380"/>
      <c r="C688" s="380"/>
      <c r="D688" s="380"/>
      <c r="E688" s="511"/>
      <c r="F688" s="511"/>
      <c r="G688" s="582"/>
      <c r="H688" s="511"/>
      <c r="I688" s="511"/>
      <c r="J688" s="582"/>
      <c r="K688" s="511"/>
      <c r="L688" s="511"/>
      <c r="M688" s="582"/>
      <c r="N688" s="582"/>
      <c r="O688" s="582"/>
      <c r="P688" s="582"/>
      <c r="Q688" s="511"/>
      <c r="R688" s="511"/>
      <c r="S688" s="511"/>
      <c r="T688" s="639"/>
      <c r="U688" s="511"/>
      <c r="V688" s="511"/>
      <c r="W688" s="511"/>
      <c r="X688" s="511"/>
      <c r="Y688" s="380"/>
      <c r="Z688" s="380"/>
      <c r="AA688" s="380"/>
      <c r="AB688" s="380"/>
      <c r="AC688" s="380"/>
      <c r="AD688" s="671"/>
      <c r="AE688" s="380"/>
      <c r="AF688" s="380"/>
      <c r="AG688" s="380"/>
      <c r="AH688" s="671"/>
      <c r="AI688" s="380"/>
      <c r="AJ688" s="583"/>
      <c r="AK688" s="583"/>
      <c r="AL688" s="511"/>
      <c r="AM688" s="584"/>
      <c r="AN688" s="584"/>
      <c r="AO688" s="584"/>
      <c r="AP688" s="671"/>
      <c r="AQ688" s="584"/>
      <c r="AR688" s="583"/>
      <c r="AS688" s="583"/>
      <c r="AT688" s="585"/>
      <c r="AU688" s="585"/>
      <c r="AV688" s="585"/>
      <c r="AW688" s="585"/>
      <c r="AX688" s="673"/>
      <c r="AY688" s="380"/>
      <c r="AZ688" s="380"/>
      <c r="BA688" s="380"/>
      <c r="BB688" s="380"/>
      <c r="BC688" s="380"/>
      <c r="BD688" s="380"/>
      <c r="BE688" s="380"/>
      <c r="BF688" s="380"/>
      <c r="BG688" s="380"/>
      <c r="BH688" s="380"/>
      <c r="BI688" s="511"/>
      <c r="BJ688" s="380"/>
      <c r="BK688" s="380"/>
      <c r="BL688" s="380"/>
      <c r="BM688" s="380"/>
      <c r="BN688" s="380"/>
      <c r="BO688" s="380"/>
      <c r="BP688" s="380"/>
      <c r="BQ688" s="380"/>
      <c r="BR688" s="380"/>
    </row>
    <row r="689" spans="1:70" ht="12.75" customHeight="1" x14ac:dyDescent="0.25">
      <c r="A689" s="380"/>
      <c r="B689" s="380"/>
      <c r="C689" s="380"/>
      <c r="D689" s="380"/>
      <c r="E689" s="511"/>
      <c r="F689" s="511"/>
      <c r="G689" s="582"/>
      <c r="H689" s="511"/>
      <c r="I689" s="511"/>
      <c r="J689" s="582"/>
      <c r="K689" s="511"/>
      <c r="L689" s="511"/>
      <c r="M689" s="582"/>
      <c r="N689" s="582"/>
      <c r="O689" s="582"/>
      <c r="P689" s="582"/>
      <c r="Q689" s="511"/>
      <c r="R689" s="511"/>
      <c r="S689" s="511"/>
      <c r="T689" s="639"/>
      <c r="U689" s="511"/>
      <c r="V689" s="511"/>
      <c r="W689" s="511"/>
      <c r="X689" s="511"/>
      <c r="Y689" s="380"/>
      <c r="Z689" s="380"/>
      <c r="AA689" s="380"/>
      <c r="AB689" s="380"/>
      <c r="AC689" s="380"/>
      <c r="AD689" s="671"/>
      <c r="AE689" s="380"/>
      <c r="AF689" s="380"/>
      <c r="AG689" s="380"/>
      <c r="AH689" s="671"/>
      <c r="AI689" s="380"/>
      <c r="AJ689" s="583"/>
      <c r="AK689" s="583"/>
      <c r="AL689" s="511"/>
      <c r="AM689" s="584"/>
      <c r="AN689" s="584"/>
      <c r="AO689" s="584"/>
      <c r="AP689" s="671"/>
      <c r="AQ689" s="584"/>
      <c r="AR689" s="583"/>
      <c r="AS689" s="583"/>
      <c r="AT689" s="585"/>
      <c r="AU689" s="585"/>
      <c r="AV689" s="585"/>
      <c r="AW689" s="585"/>
      <c r="AX689" s="673"/>
      <c r="AY689" s="380"/>
      <c r="AZ689" s="380"/>
      <c r="BA689" s="380"/>
      <c r="BB689" s="380"/>
      <c r="BC689" s="380"/>
      <c r="BD689" s="380"/>
      <c r="BE689" s="380"/>
      <c r="BF689" s="380"/>
      <c r="BG689" s="380"/>
      <c r="BH689" s="380"/>
      <c r="BI689" s="511"/>
      <c r="BJ689" s="380"/>
      <c r="BK689" s="380"/>
      <c r="BL689" s="380"/>
      <c r="BM689" s="380"/>
      <c r="BN689" s="380"/>
      <c r="BO689" s="380"/>
      <c r="BP689" s="380"/>
      <c r="BQ689" s="380"/>
      <c r="BR689" s="380"/>
    </row>
    <row r="690" spans="1:70" ht="12.75" customHeight="1" x14ac:dyDescent="0.25">
      <c r="A690" s="380"/>
      <c r="B690" s="380"/>
      <c r="C690" s="380"/>
      <c r="D690" s="380"/>
      <c r="E690" s="511"/>
      <c r="F690" s="511"/>
      <c r="G690" s="582"/>
      <c r="H690" s="511"/>
      <c r="I690" s="511"/>
      <c r="J690" s="582"/>
      <c r="K690" s="511"/>
      <c r="L690" s="511"/>
      <c r="M690" s="582"/>
      <c r="N690" s="582"/>
      <c r="O690" s="582"/>
      <c r="P690" s="582"/>
      <c r="Q690" s="511"/>
      <c r="R690" s="511"/>
      <c r="S690" s="511"/>
      <c r="T690" s="639"/>
      <c r="U690" s="511"/>
      <c r="V690" s="511"/>
      <c r="W690" s="511"/>
      <c r="X690" s="511"/>
      <c r="Y690" s="380"/>
      <c r="Z690" s="380"/>
      <c r="AA690" s="380"/>
      <c r="AB690" s="380"/>
      <c r="AC690" s="380"/>
      <c r="AD690" s="671"/>
      <c r="AE690" s="380"/>
      <c r="AF690" s="380"/>
      <c r="AG690" s="380"/>
      <c r="AH690" s="671"/>
      <c r="AI690" s="380"/>
      <c r="AJ690" s="583"/>
      <c r="AK690" s="583"/>
      <c r="AL690" s="511"/>
      <c r="AM690" s="584"/>
      <c r="AN690" s="584"/>
      <c r="AO690" s="584"/>
      <c r="AP690" s="671"/>
      <c r="AQ690" s="584"/>
      <c r="AR690" s="583"/>
      <c r="AS690" s="583"/>
      <c r="AT690" s="585"/>
      <c r="AU690" s="585"/>
      <c r="AV690" s="585"/>
      <c r="AW690" s="585"/>
      <c r="AX690" s="673"/>
      <c r="AY690" s="380"/>
      <c r="AZ690" s="380"/>
      <c r="BA690" s="380"/>
      <c r="BB690" s="380"/>
      <c r="BC690" s="380"/>
      <c r="BD690" s="380"/>
      <c r="BE690" s="380"/>
      <c r="BF690" s="380"/>
      <c r="BG690" s="380"/>
      <c r="BH690" s="380"/>
      <c r="BI690" s="511"/>
      <c r="BJ690" s="380"/>
      <c r="BK690" s="380"/>
      <c r="BL690" s="380"/>
      <c r="BM690" s="380"/>
      <c r="BN690" s="380"/>
      <c r="BO690" s="380"/>
      <c r="BP690" s="380"/>
      <c r="BQ690" s="380"/>
      <c r="BR690" s="380"/>
    </row>
    <row r="691" spans="1:70" ht="12.75" customHeight="1" x14ac:dyDescent="0.25">
      <c r="A691" s="380"/>
      <c r="B691" s="380"/>
      <c r="C691" s="380"/>
      <c r="D691" s="380"/>
      <c r="E691" s="511"/>
      <c r="F691" s="511"/>
      <c r="G691" s="582"/>
      <c r="H691" s="511"/>
      <c r="I691" s="511"/>
      <c r="J691" s="582"/>
      <c r="K691" s="511"/>
      <c r="L691" s="511"/>
      <c r="M691" s="582"/>
      <c r="N691" s="582"/>
      <c r="O691" s="582"/>
      <c r="P691" s="582"/>
      <c r="Q691" s="511"/>
      <c r="R691" s="511"/>
      <c r="S691" s="511"/>
      <c r="T691" s="639"/>
      <c r="U691" s="511"/>
      <c r="V691" s="511"/>
      <c r="W691" s="511"/>
      <c r="X691" s="511"/>
      <c r="Y691" s="380"/>
      <c r="Z691" s="380"/>
      <c r="AA691" s="380"/>
      <c r="AB691" s="380"/>
      <c r="AC691" s="380"/>
      <c r="AD691" s="671"/>
      <c r="AE691" s="380"/>
      <c r="AF691" s="380"/>
      <c r="AG691" s="380"/>
      <c r="AH691" s="671"/>
      <c r="AI691" s="380"/>
      <c r="AJ691" s="583"/>
      <c r="AK691" s="583"/>
      <c r="AL691" s="511"/>
      <c r="AM691" s="584"/>
      <c r="AN691" s="584"/>
      <c r="AO691" s="584"/>
      <c r="AP691" s="671"/>
      <c r="AQ691" s="584"/>
      <c r="AR691" s="583"/>
      <c r="AS691" s="583"/>
      <c r="AT691" s="585"/>
      <c r="AU691" s="585"/>
      <c r="AV691" s="585"/>
      <c r="AW691" s="585"/>
      <c r="AX691" s="673"/>
      <c r="AY691" s="380"/>
      <c r="AZ691" s="380"/>
      <c r="BA691" s="380"/>
      <c r="BB691" s="380"/>
      <c r="BC691" s="380"/>
      <c r="BD691" s="380"/>
      <c r="BE691" s="380"/>
      <c r="BF691" s="380"/>
      <c r="BG691" s="380"/>
      <c r="BH691" s="380"/>
      <c r="BI691" s="511"/>
      <c r="BJ691" s="380"/>
      <c r="BK691" s="380"/>
      <c r="BL691" s="380"/>
      <c r="BM691" s="380"/>
      <c r="BN691" s="380"/>
      <c r="BO691" s="380"/>
      <c r="BP691" s="380"/>
      <c r="BQ691" s="380"/>
      <c r="BR691" s="380"/>
    </row>
    <row r="692" spans="1:70" ht="12.75" customHeight="1" x14ac:dyDescent="0.25">
      <c r="A692" s="380"/>
      <c r="B692" s="380"/>
      <c r="C692" s="380"/>
      <c r="D692" s="380"/>
      <c r="E692" s="511"/>
      <c r="F692" s="511"/>
      <c r="G692" s="582"/>
      <c r="H692" s="511"/>
      <c r="I692" s="511"/>
      <c r="J692" s="582"/>
      <c r="K692" s="511"/>
      <c r="L692" s="511"/>
      <c r="M692" s="582"/>
      <c r="N692" s="582"/>
      <c r="O692" s="582"/>
      <c r="P692" s="582"/>
      <c r="Q692" s="511"/>
      <c r="R692" s="511"/>
      <c r="S692" s="511"/>
      <c r="T692" s="639"/>
      <c r="U692" s="511"/>
      <c r="V692" s="511"/>
      <c r="W692" s="511"/>
      <c r="X692" s="511"/>
      <c r="Y692" s="380"/>
      <c r="Z692" s="380"/>
      <c r="AA692" s="380"/>
      <c r="AB692" s="380"/>
      <c r="AC692" s="380"/>
      <c r="AD692" s="671"/>
      <c r="AE692" s="380"/>
      <c r="AF692" s="380"/>
      <c r="AG692" s="380"/>
      <c r="AH692" s="671"/>
      <c r="AI692" s="380"/>
      <c r="AJ692" s="583"/>
      <c r="AK692" s="583"/>
      <c r="AL692" s="511"/>
      <c r="AM692" s="584"/>
      <c r="AN692" s="584"/>
      <c r="AO692" s="584"/>
      <c r="AP692" s="671"/>
      <c r="AQ692" s="584"/>
      <c r="AR692" s="583"/>
      <c r="AS692" s="583"/>
      <c r="AT692" s="585"/>
      <c r="AU692" s="585"/>
      <c r="AV692" s="585"/>
      <c r="AW692" s="585"/>
      <c r="AX692" s="673"/>
      <c r="AY692" s="380"/>
      <c r="AZ692" s="380"/>
      <c r="BA692" s="380"/>
      <c r="BB692" s="380"/>
      <c r="BC692" s="380"/>
      <c r="BD692" s="380"/>
      <c r="BE692" s="380"/>
      <c r="BF692" s="380"/>
      <c r="BG692" s="380"/>
      <c r="BH692" s="380"/>
      <c r="BI692" s="511"/>
      <c r="BJ692" s="380"/>
      <c r="BK692" s="380"/>
      <c r="BL692" s="380"/>
      <c r="BM692" s="380"/>
      <c r="BN692" s="380"/>
      <c r="BO692" s="380"/>
      <c r="BP692" s="380"/>
      <c r="BQ692" s="380"/>
      <c r="BR692" s="380"/>
    </row>
    <row r="693" spans="1:70" ht="12.75" customHeight="1" x14ac:dyDescent="0.25">
      <c r="A693" s="380"/>
      <c r="B693" s="380"/>
      <c r="C693" s="380"/>
      <c r="D693" s="380"/>
      <c r="E693" s="511"/>
      <c r="F693" s="511"/>
      <c r="G693" s="582"/>
      <c r="H693" s="511"/>
      <c r="I693" s="511"/>
      <c r="J693" s="582"/>
      <c r="K693" s="511"/>
      <c r="L693" s="511"/>
      <c r="M693" s="582"/>
      <c r="N693" s="582"/>
      <c r="O693" s="582"/>
      <c r="P693" s="582"/>
      <c r="Q693" s="511"/>
      <c r="R693" s="511"/>
      <c r="S693" s="511"/>
      <c r="T693" s="639"/>
      <c r="U693" s="511"/>
      <c r="V693" s="511"/>
      <c r="W693" s="511"/>
      <c r="X693" s="511"/>
      <c r="Y693" s="380"/>
      <c r="Z693" s="380"/>
      <c r="AA693" s="380"/>
      <c r="AB693" s="380"/>
      <c r="AC693" s="380"/>
      <c r="AD693" s="671"/>
      <c r="AE693" s="380"/>
      <c r="AF693" s="380"/>
      <c r="AG693" s="380"/>
      <c r="AH693" s="671"/>
      <c r="AI693" s="380"/>
      <c r="AJ693" s="583"/>
      <c r="AK693" s="583"/>
      <c r="AL693" s="511"/>
      <c r="AM693" s="584"/>
      <c r="AN693" s="584"/>
      <c r="AO693" s="584"/>
      <c r="AP693" s="671"/>
      <c r="AQ693" s="584"/>
      <c r="AR693" s="583"/>
      <c r="AS693" s="583"/>
      <c r="AT693" s="585"/>
      <c r="AU693" s="585"/>
      <c r="AV693" s="585"/>
      <c r="AW693" s="585"/>
      <c r="AX693" s="673"/>
      <c r="AY693" s="380"/>
      <c r="AZ693" s="380"/>
      <c r="BA693" s="380"/>
      <c r="BB693" s="380"/>
      <c r="BC693" s="380"/>
      <c r="BD693" s="380"/>
      <c r="BE693" s="380"/>
      <c r="BF693" s="380"/>
      <c r="BG693" s="380"/>
      <c r="BH693" s="380"/>
      <c r="BI693" s="511"/>
      <c r="BJ693" s="380"/>
      <c r="BK693" s="380"/>
      <c r="BL693" s="380"/>
      <c r="BM693" s="380"/>
      <c r="BN693" s="380"/>
      <c r="BO693" s="380"/>
      <c r="BP693" s="380"/>
      <c r="BQ693" s="380"/>
      <c r="BR693" s="380"/>
    </row>
    <row r="694" spans="1:70" ht="12.75" customHeight="1" x14ac:dyDescent="0.25">
      <c r="A694" s="380"/>
      <c r="B694" s="380"/>
      <c r="C694" s="380"/>
      <c r="D694" s="380"/>
      <c r="E694" s="511"/>
      <c r="F694" s="511"/>
      <c r="G694" s="582"/>
      <c r="H694" s="511"/>
      <c r="I694" s="511"/>
      <c r="J694" s="582"/>
      <c r="K694" s="511"/>
      <c r="L694" s="511"/>
      <c r="M694" s="582"/>
      <c r="N694" s="582"/>
      <c r="O694" s="582"/>
      <c r="P694" s="582"/>
      <c r="Q694" s="511"/>
      <c r="R694" s="511"/>
      <c r="S694" s="511"/>
      <c r="T694" s="639"/>
      <c r="U694" s="511"/>
      <c r="V694" s="511"/>
      <c r="W694" s="511"/>
      <c r="X694" s="511"/>
      <c r="Y694" s="380"/>
      <c r="Z694" s="380"/>
      <c r="AA694" s="380"/>
      <c r="AB694" s="380"/>
      <c r="AC694" s="380"/>
      <c r="AD694" s="671"/>
      <c r="AE694" s="380"/>
      <c r="AF694" s="380"/>
      <c r="AG694" s="380"/>
      <c r="AH694" s="671"/>
      <c r="AI694" s="380"/>
      <c r="AJ694" s="583"/>
      <c r="AK694" s="583"/>
      <c r="AL694" s="511"/>
      <c r="AM694" s="584"/>
      <c r="AN694" s="584"/>
      <c r="AO694" s="584"/>
      <c r="AP694" s="671"/>
      <c r="AQ694" s="584"/>
      <c r="AR694" s="583"/>
      <c r="AS694" s="583"/>
      <c r="AT694" s="585"/>
      <c r="AU694" s="585"/>
      <c r="AV694" s="585"/>
      <c r="AW694" s="585"/>
      <c r="AX694" s="673"/>
      <c r="AY694" s="380"/>
      <c r="AZ694" s="380"/>
      <c r="BA694" s="380"/>
      <c r="BB694" s="380"/>
      <c r="BC694" s="380"/>
      <c r="BD694" s="380"/>
      <c r="BE694" s="380"/>
      <c r="BF694" s="380"/>
      <c r="BG694" s="380"/>
      <c r="BH694" s="380"/>
      <c r="BI694" s="511"/>
      <c r="BJ694" s="380"/>
      <c r="BK694" s="380"/>
      <c r="BL694" s="380"/>
      <c r="BM694" s="380"/>
      <c r="BN694" s="380"/>
      <c r="BO694" s="380"/>
      <c r="BP694" s="380"/>
      <c r="BQ694" s="380"/>
      <c r="BR694" s="380"/>
    </row>
    <row r="695" spans="1:70" ht="12.75" customHeight="1" x14ac:dyDescent="0.25">
      <c r="A695" s="380"/>
      <c r="B695" s="380"/>
      <c r="C695" s="380"/>
      <c r="D695" s="380"/>
      <c r="E695" s="511"/>
      <c r="F695" s="511"/>
      <c r="G695" s="582"/>
      <c r="H695" s="511"/>
      <c r="I695" s="511"/>
      <c r="J695" s="582"/>
      <c r="K695" s="511"/>
      <c r="L695" s="511"/>
      <c r="M695" s="582"/>
      <c r="N695" s="582"/>
      <c r="O695" s="582"/>
      <c r="P695" s="582"/>
      <c r="Q695" s="511"/>
      <c r="R695" s="511"/>
      <c r="S695" s="511"/>
      <c r="T695" s="639"/>
      <c r="U695" s="511"/>
      <c r="V695" s="511"/>
      <c r="W695" s="511"/>
      <c r="X695" s="511"/>
      <c r="Y695" s="380"/>
      <c r="Z695" s="380"/>
      <c r="AA695" s="380"/>
      <c r="AB695" s="380"/>
      <c r="AC695" s="380"/>
      <c r="AD695" s="671"/>
      <c r="AE695" s="380"/>
      <c r="AF695" s="380"/>
      <c r="AG695" s="380"/>
      <c r="AH695" s="671"/>
      <c r="AI695" s="380"/>
      <c r="AJ695" s="583"/>
      <c r="AK695" s="583"/>
      <c r="AL695" s="511"/>
      <c r="AM695" s="584"/>
      <c r="AN695" s="584"/>
      <c r="AO695" s="584"/>
      <c r="AP695" s="671"/>
      <c r="AQ695" s="584"/>
      <c r="AR695" s="583"/>
      <c r="AS695" s="583"/>
      <c r="AT695" s="585"/>
      <c r="AU695" s="585"/>
      <c r="AV695" s="585"/>
      <c r="AW695" s="585"/>
      <c r="AX695" s="673"/>
      <c r="AY695" s="380"/>
      <c r="AZ695" s="380"/>
      <c r="BA695" s="380"/>
      <c r="BB695" s="380"/>
      <c r="BC695" s="380"/>
      <c r="BD695" s="380"/>
      <c r="BE695" s="380"/>
      <c r="BF695" s="380"/>
      <c r="BG695" s="380"/>
      <c r="BH695" s="380"/>
      <c r="BI695" s="511"/>
      <c r="BJ695" s="380"/>
      <c r="BK695" s="380"/>
      <c r="BL695" s="380"/>
      <c r="BM695" s="380"/>
      <c r="BN695" s="380"/>
      <c r="BO695" s="380"/>
      <c r="BP695" s="380"/>
      <c r="BQ695" s="380"/>
      <c r="BR695" s="380"/>
    </row>
    <row r="696" spans="1:70" ht="12.75" customHeight="1" x14ac:dyDescent="0.25">
      <c r="A696" s="380"/>
      <c r="B696" s="380"/>
      <c r="C696" s="380"/>
      <c r="D696" s="380"/>
      <c r="E696" s="511"/>
      <c r="F696" s="511"/>
      <c r="G696" s="582"/>
      <c r="H696" s="511"/>
      <c r="I696" s="511"/>
      <c r="J696" s="582"/>
      <c r="K696" s="511"/>
      <c r="L696" s="511"/>
      <c r="M696" s="582"/>
      <c r="N696" s="582"/>
      <c r="O696" s="582"/>
      <c r="P696" s="582"/>
      <c r="Q696" s="511"/>
      <c r="R696" s="511"/>
      <c r="S696" s="511"/>
      <c r="T696" s="639"/>
      <c r="U696" s="511"/>
      <c r="V696" s="511"/>
      <c r="W696" s="511"/>
      <c r="X696" s="511"/>
      <c r="Y696" s="380"/>
      <c r="Z696" s="380"/>
      <c r="AA696" s="380"/>
      <c r="AB696" s="380"/>
      <c r="AC696" s="380"/>
      <c r="AD696" s="671"/>
      <c r="AE696" s="380"/>
      <c r="AF696" s="380"/>
      <c r="AG696" s="380"/>
      <c r="AH696" s="671"/>
      <c r="AI696" s="380"/>
      <c r="AJ696" s="583"/>
      <c r="AK696" s="583"/>
      <c r="AL696" s="511"/>
      <c r="AM696" s="584"/>
      <c r="AN696" s="584"/>
      <c r="AO696" s="584"/>
      <c r="AP696" s="671"/>
      <c r="AQ696" s="584"/>
      <c r="AR696" s="583"/>
      <c r="AS696" s="583"/>
      <c r="AT696" s="585"/>
      <c r="AU696" s="585"/>
      <c r="AV696" s="585"/>
      <c r="AW696" s="585"/>
      <c r="AX696" s="673"/>
      <c r="AY696" s="380"/>
      <c r="AZ696" s="380"/>
      <c r="BA696" s="380"/>
      <c r="BB696" s="380"/>
      <c r="BC696" s="380"/>
      <c r="BD696" s="380"/>
      <c r="BE696" s="380"/>
      <c r="BF696" s="380"/>
      <c r="BG696" s="380"/>
      <c r="BH696" s="380"/>
      <c r="BI696" s="511"/>
      <c r="BJ696" s="380"/>
      <c r="BK696" s="380"/>
      <c r="BL696" s="380"/>
      <c r="BM696" s="380"/>
      <c r="BN696" s="380"/>
      <c r="BO696" s="380"/>
      <c r="BP696" s="380"/>
      <c r="BQ696" s="380"/>
      <c r="BR696" s="380"/>
    </row>
    <row r="697" spans="1:70" ht="12.75" customHeight="1" x14ac:dyDescent="0.25">
      <c r="A697" s="380"/>
      <c r="B697" s="380"/>
      <c r="C697" s="380"/>
      <c r="D697" s="380"/>
      <c r="E697" s="511"/>
      <c r="F697" s="511"/>
      <c r="G697" s="582"/>
      <c r="H697" s="511"/>
      <c r="I697" s="511"/>
      <c r="J697" s="582"/>
      <c r="K697" s="511"/>
      <c r="L697" s="511"/>
      <c r="M697" s="582"/>
      <c r="N697" s="582"/>
      <c r="O697" s="582"/>
      <c r="P697" s="582"/>
      <c r="Q697" s="511"/>
      <c r="R697" s="511"/>
      <c r="S697" s="511"/>
      <c r="T697" s="639"/>
      <c r="U697" s="511"/>
      <c r="V697" s="511"/>
      <c r="W697" s="511"/>
      <c r="X697" s="511"/>
      <c r="Y697" s="380"/>
      <c r="Z697" s="380"/>
      <c r="AA697" s="380"/>
      <c r="AB697" s="380"/>
      <c r="AC697" s="380"/>
      <c r="AD697" s="671"/>
      <c r="AE697" s="380"/>
      <c r="AF697" s="380"/>
      <c r="AG697" s="380"/>
      <c r="AH697" s="671"/>
      <c r="AI697" s="380"/>
      <c r="AJ697" s="583"/>
      <c r="AK697" s="583"/>
      <c r="AL697" s="511"/>
      <c r="AM697" s="584"/>
      <c r="AN697" s="584"/>
      <c r="AO697" s="584"/>
      <c r="AP697" s="671"/>
      <c r="AQ697" s="584"/>
      <c r="AR697" s="583"/>
      <c r="AS697" s="583"/>
      <c r="AT697" s="585"/>
      <c r="AU697" s="585"/>
      <c r="AV697" s="585"/>
      <c r="AW697" s="585"/>
      <c r="AX697" s="673"/>
      <c r="AY697" s="380"/>
      <c r="AZ697" s="380"/>
      <c r="BA697" s="380"/>
      <c r="BB697" s="380"/>
      <c r="BC697" s="380"/>
      <c r="BD697" s="380"/>
      <c r="BE697" s="380"/>
      <c r="BF697" s="380"/>
      <c r="BG697" s="380"/>
      <c r="BH697" s="380"/>
      <c r="BI697" s="511"/>
      <c r="BJ697" s="380"/>
      <c r="BK697" s="380"/>
      <c r="BL697" s="380"/>
      <c r="BM697" s="380"/>
      <c r="BN697" s="380"/>
      <c r="BO697" s="380"/>
      <c r="BP697" s="380"/>
      <c r="BQ697" s="380"/>
      <c r="BR697" s="380"/>
    </row>
    <row r="698" spans="1:70" ht="12.75" customHeight="1" x14ac:dyDescent="0.25">
      <c r="A698" s="380"/>
      <c r="B698" s="380"/>
      <c r="C698" s="380"/>
      <c r="D698" s="380"/>
      <c r="E698" s="511"/>
      <c r="F698" s="511"/>
      <c r="G698" s="582"/>
      <c r="H698" s="511"/>
      <c r="I698" s="511"/>
      <c r="J698" s="582"/>
      <c r="K698" s="511"/>
      <c r="L698" s="511"/>
      <c r="M698" s="582"/>
      <c r="N698" s="582"/>
      <c r="O698" s="582"/>
      <c r="P698" s="582"/>
      <c r="Q698" s="511"/>
      <c r="R698" s="511"/>
      <c r="S698" s="511"/>
      <c r="T698" s="639"/>
      <c r="U698" s="511"/>
      <c r="V698" s="511"/>
      <c r="W698" s="511"/>
      <c r="X698" s="511"/>
      <c r="Y698" s="380"/>
      <c r="Z698" s="380"/>
      <c r="AA698" s="380"/>
      <c r="AB698" s="380"/>
      <c r="AC698" s="380"/>
      <c r="AD698" s="671"/>
      <c r="AE698" s="380"/>
      <c r="AF698" s="380"/>
      <c r="AG698" s="380"/>
      <c r="AH698" s="671"/>
      <c r="AI698" s="380"/>
      <c r="AJ698" s="583"/>
      <c r="AK698" s="583"/>
      <c r="AL698" s="511"/>
      <c r="AM698" s="584"/>
      <c r="AN698" s="584"/>
      <c r="AO698" s="584"/>
      <c r="AP698" s="671"/>
      <c r="AQ698" s="584"/>
      <c r="AR698" s="583"/>
      <c r="AS698" s="583"/>
      <c r="AT698" s="585"/>
      <c r="AU698" s="585"/>
      <c r="AV698" s="585"/>
      <c r="AW698" s="585"/>
      <c r="AX698" s="673"/>
      <c r="AY698" s="380"/>
      <c r="AZ698" s="380"/>
      <c r="BA698" s="380"/>
      <c r="BB698" s="380"/>
      <c r="BC698" s="380"/>
      <c r="BD698" s="380"/>
      <c r="BE698" s="380"/>
      <c r="BF698" s="380"/>
      <c r="BG698" s="380"/>
      <c r="BH698" s="380"/>
      <c r="BI698" s="511"/>
      <c r="BJ698" s="380"/>
      <c r="BK698" s="380"/>
      <c r="BL698" s="380"/>
      <c r="BM698" s="380"/>
      <c r="BN698" s="380"/>
      <c r="BO698" s="380"/>
      <c r="BP698" s="380"/>
      <c r="BQ698" s="380"/>
      <c r="BR698" s="380"/>
    </row>
    <row r="699" spans="1:70" ht="12.75" customHeight="1" x14ac:dyDescent="0.25">
      <c r="A699" s="380"/>
      <c r="B699" s="380"/>
      <c r="C699" s="380"/>
      <c r="D699" s="380"/>
      <c r="E699" s="511"/>
      <c r="F699" s="511"/>
      <c r="G699" s="582"/>
      <c r="H699" s="511"/>
      <c r="I699" s="511"/>
      <c r="J699" s="582"/>
      <c r="K699" s="511"/>
      <c r="L699" s="511"/>
      <c r="M699" s="582"/>
      <c r="N699" s="582"/>
      <c r="O699" s="582"/>
      <c r="P699" s="582"/>
      <c r="Q699" s="511"/>
      <c r="R699" s="511"/>
      <c r="S699" s="511"/>
      <c r="T699" s="639"/>
      <c r="U699" s="511"/>
      <c r="V699" s="511"/>
      <c r="W699" s="511"/>
      <c r="X699" s="511"/>
      <c r="Y699" s="380"/>
      <c r="Z699" s="380"/>
      <c r="AA699" s="380"/>
      <c r="AB699" s="380"/>
      <c r="AC699" s="380"/>
      <c r="AD699" s="671"/>
      <c r="AE699" s="380"/>
      <c r="AF699" s="380"/>
      <c r="AG699" s="380"/>
      <c r="AH699" s="671"/>
      <c r="AI699" s="380"/>
      <c r="AJ699" s="583"/>
      <c r="AK699" s="583"/>
      <c r="AL699" s="511"/>
      <c r="AM699" s="584"/>
      <c r="AN699" s="584"/>
      <c r="AO699" s="584"/>
      <c r="AP699" s="671"/>
      <c r="AQ699" s="584"/>
      <c r="AR699" s="583"/>
      <c r="AS699" s="583"/>
      <c r="AT699" s="585"/>
      <c r="AU699" s="585"/>
      <c r="AV699" s="585"/>
      <c r="AW699" s="585"/>
      <c r="AX699" s="673"/>
      <c r="AY699" s="380"/>
      <c r="AZ699" s="380"/>
      <c r="BA699" s="380"/>
      <c r="BB699" s="380"/>
      <c r="BC699" s="380"/>
      <c r="BD699" s="380"/>
      <c r="BE699" s="380"/>
      <c r="BF699" s="380"/>
      <c r="BG699" s="380"/>
      <c r="BH699" s="380"/>
      <c r="BI699" s="511"/>
      <c r="BJ699" s="380"/>
      <c r="BK699" s="380"/>
      <c r="BL699" s="380"/>
      <c r="BM699" s="380"/>
      <c r="BN699" s="380"/>
      <c r="BO699" s="380"/>
      <c r="BP699" s="380"/>
      <c r="BQ699" s="380"/>
      <c r="BR699" s="380"/>
    </row>
    <row r="700" spans="1:70" ht="12.75" customHeight="1" x14ac:dyDescent="0.25">
      <c r="A700" s="380"/>
      <c r="B700" s="380"/>
      <c r="C700" s="380"/>
      <c r="D700" s="380"/>
      <c r="E700" s="511"/>
      <c r="F700" s="511"/>
      <c r="G700" s="582"/>
      <c r="H700" s="511"/>
      <c r="I700" s="511"/>
      <c r="J700" s="582"/>
      <c r="K700" s="511"/>
      <c r="L700" s="511"/>
      <c r="M700" s="582"/>
      <c r="N700" s="582"/>
      <c r="O700" s="582"/>
      <c r="P700" s="582"/>
      <c r="Q700" s="511"/>
      <c r="R700" s="511"/>
      <c r="S700" s="511"/>
      <c r="T700" s="639"/>
      <c r="U700" s="511"/>
      <c r="V700" s="511"/>
      <c r="W700" s="511"/>
      <c r="X700" s="511"/>
      <c r="Y700" s="380"/>
      <c r="Z700" s="380"/>
      <c r="AA700" s="380"/>
      <c r="AB700" s="380"/>
      <c r="AC700" s="380"/>
      <c r="AD700" s="671"/>
      <c r="AE700" s="380"/>
      <c r="AF700" s="380"/>
      <c r="AG700" s="380"/>
      <c r="AH700" s="671"/>
      <c r="AI700" s="380"/>
      <c r="AJ700" s="583"/>
      <c r="AK700" s="583"/>
      <c r="AL700" s="511"/>
      <c r="AM700" s="584"/>
      <c r="AN700" s="584"/>
      <c r="AO700" s="584"/>
      <c r="AP700" s="671"/>
      <c r="AQ700" s="584"/>
      <c r="AR700" s="583"/>
      <c r="AS700" s="583"/>
      <c r="AT700" s="585"/>
      <c r="AU700" s="585"/>
      <c r="AV700" s="585"/>
      <c r="AW700" s="585"/>
      <c r="AX700" s="673"/>
      <c r="AY700" s="380"/>
      <c r="AZ700" s="380"/>
      <c r="BA700" s="380"/>
      <c r="BB700" s="380"/>
      <c r="BC700" s="380"/>
      <c r="BD700" s="380"/>
      <c r="BE700" s="380"/>
      <c r="BF700" s="380"/>
      <c r="BG700" s="380"/>
      <c r="BH700" s="380"/>
      <c r="BI700" s="511"/>
      <c r="BJ700" s="380"/>
      <c r="BK700" s="380"/>
      <c r="BL700" s="380"/>
      <c r="BM700" s="380"/>
      <c r="BN700" s="380"/>
      <c r="BO700" s="380"/>
      <c r="BP700" s="380"/>
      <c r="BQ700" s="380"/>
      <c r="BR700" s="380"/>
    </row>
    <row r="701" spans="1:70" ht="12.75" customHeight="1" x14ac:dyDescent="0.25">
      <c r="A701" s="380"/>
      <c r="B701" s="380"/>
      <c r="C701" s="380"/>
      <c r="D701" s="380"/>
      <c r="E701" s="511"/>
      <c r="F701" s="511"/>
      <c r="G701" s="582"/>
      <c r="H701" s="511"/>
      <c r="I701" s="511"/>
      <c r="J701" s="582"/>
      <c r="K701" s="511"/>
      <c r="L701" s="511"/>
      <c r="M701" s="582"/>
      <c r="N701" s="582"/>
      <c r="O701" s="582"/>
      <c r="P701" s="582"/>
      <c r="Q701" s="511"/>
      <c r="R701" s="511"/>
      <c r="S701" s="511"/>
      <c r="T701" s="639"/>
      <c r="U701" s="511"/>
      <c r="V701" s="511"/>
      <c r="W701" s="511"/>
      <c r="X701" s="511"/>
      <c r="Y701" s="380"/>
      <c r="Z701" s="380"/>
      <c r="AA701" s="380"/>
      <c r="AB701" s="380"/>
      <c r="AC701" s="380"/>
      <c r="AD701" s="671"/>
      <c r="AE701" s="380"/>
      <c r="AF701" s="380"/>
      <c r="AG701" s="380"/>
      <c r="AH701" s="671"/>
      <c r="AI701" s="380"/>
      <c r="AJ701" s="583"/>
      <c r="AK701" s="583"/>
      <c r="AL701" s="511"/>
      <c r="AM701" s="584"/>
      <c r="AN701" s="584"/>
      <c r="AO701" s="584"/>
      <c r="AP701" s="671"/>
      <c r="AQ701" s="584"/>
      <c r="AR701" s="583"/>
      <c r="AS701" s="583"/>
      <c r="AT701" s="585"/>
      <c r="AU701" s="585"/>
      <c r="AV701" s="585"/>
      <c r="AW701" s="585"/>
      <c r="AX701" s="673"/>
      <c r="AY701" s="380"/>
      <c r="AZ701" s="380"/>
      <c r="BA701" s="380"/>
      <c r="BB701" s="380"/>
      <c r="BC701" s="380"/>
      <c r="BD701" s="380"/>
      <c r="BE701" s="380"/>
      <c r="BF701" s="380"/>
      <c r="BG701" s="380"/>
      <c r="BH701" s="380"/>
      <c r="BI701" s="511"/>
      <c r="BJ701" s="380"/>
      <c r="BK701" s="380"/>
      <c r="BL701" s="380"/>
      <c r="BM701" s="380"/>
      <c r="BN701" s="380"/>
      <c r="BO701" s="380"/>
      <c r="BP701" s="380"/>
      <c r="BQ701" s="380"/>
      <c r="BR701" s="380"/>
    </row>
    <row r="702" spans="1:70" ht="12.75" customHeight="1" x14ac:dyDescent="0.25">
      <c r="A702" s="380"/>
      <c r="B702" s="380"/>
      <c r="C702" s="380"/>
      <c r="D702" s="380"/>
      <c r="E702" s="511"/>
      <c r="F702" s="511"/>
      <c r="G702" s="582"/>
      <c r="H702" s="511"/>
      <c r="I702" s="511"/>
      <c r="J702" s="582"/>
      <c r="K702" s="511"/>
      <c r="L702" s="511"/>
      <c r="M702" s="582"/>
      <c r="N702" s="582"/>
      <c r="O702" s="582"/>
      <c r="P702" s="582"/>
      <c r="Q702" s="511"/>
      <c r="R702" s="511"/>
      <c r="S702" s="511"/>
      <c r="T702" s="639"/>
      <c r="U702" s="511"/>
      <c r="V702" s="511"/>
      <c r="W702" s="511"/>
      <c r="X702" s="511"/>
      <c r="Y702" s="380"/>
      <c r="Z702" s="380"/>
      <c r="AA702" s="380"/>
      <c r="AB702" s="380"/>
      <c r="AC702" s="380"/>
      <c r="AD702" s="671"/>
      <c r="AE702" s="380"/>
      <c r="AF702" s="380"/>
      <c r="AG702" s="380"/>
      <c r="AH702" s="671"/>
      <c r="AI702" s="380"/>
      <c r="AJ702" s="583"/>
      <c r="AK702" s="583"/>
      <c r="AL702" s="511"/>
      <c r="AM702" s="584"/>
      <c r="AN702" s="584"/>
      <c r="AO702" s="584"/>
      <c r="AP702" s="671"/>
      <c r="AQ702" s="584"/>
      <c r="AR702" s="583"/>
      <c r="AS702" s="583"/>
      <c r="AT702" s="585"/>
      <c r="AU702" s="585"/>
      <c r="AV702" s="585"/>
      <c r="AW702" s="585"/>
      <c r="AX702" s="673"/>
      <c r="AY702" s="380"/>
      <c r="AZ702" s="380"/>
      <c r="BA702" s="380"/>
      <c r="BB702" s="380"/>
      <c r="BC702" s="380"/>
      <c r="BD702" s="380"/>
      <c r="BE702" s="380"/>
      <c r="BF702" s="380"/>
      <c r="BG702" s="380"/>
      <c r="BH702" s="380"/>
      <c r="BI702" s="511"/>
      <c r="BJ702" s="380"/>
      <c r="BK702" s="380"/>
      <c r="BL702" s="380"/>
      <c r="BM702" s="380"/>
      <c r="BN702" s="380"/>
      <c r="BO702" s="380"/>
      <c r="BP702" s="380"/>
      <c r="BQ702" s="380"/>
      <c r="BR702" s="380"/>
    </row>
    <row r="703" spans="1:70" ht="12.75" customHeight="1" x14ac:dyDescent="0.25">
      <c r="A703" s="380"/>
      <c r="B703" s="380"/>
      <c r="C703" s="380"/>
      <c r="D703" s="380"/>
      <c r="E703" s="511"/>
      <c r="F703" s="511"/>
      <c r="G703" s="582"/>
      <c r="H703" s="511"/>
      <c r="I703" s="511"/>
      <c r="J703" s="582"/>
      <c r="K703" s="511"/>
      <c r="L703" s="511"/>
      <c r="M703" s="582"/>
      <c r="N703" s="582"/>
      <c r="O703" s="582"/>
      <c r="P703" s="582"/>
      <c r="Q703" s="511"/>
      <c r="R703" s="511"/>
      <c r="S703" s="511"/>
      <c r="T703" s="639"/>
      <c r="U703" s="511"/>
      <c r="V703" s="511"/>
      <c r="W703" s="511"/>
      <c r="X703" s="511"/>
      <c r="Y703" s="380"/>
      <c r="Z703" s="380"/>
      <c r="AA703" s="380"/>
      <c r="AB703" s="380"/>
      <c r="AC703" s="380"/>
      <c r="AD703" s="671"/>
      <c r="AE703" s="380"/>
      <c r="AF703" s="380"/>
      <c r="AG703" s="380"/>
      <c r="AH703" s="671"/>
      <c r="AI703" s="380"/>
      <c r="AJ703" s="583"/>
      <c r="AK703" s="583"/>
      <c r="AL703" s="511"/>
      <c r="AM703" s="584"/>
      <c r="AN703" s="584"/>
      <c r="AO703" s="584"/>
      <c r="AP703" s="671"/>
      <c r="AQ703" s="584"/>
      <c r="AR703" s="583"/>
      <c r="AS703" s="583"/>
      <c r="AT703" s="585"/>
      <c r="AU703" s="585"/>
      <c r="AV703" s="585"/>
      <c r="AW703" s="585"/>
      <c r="AX703" s="673"/>
      <c r="AY703" s="380"/>
      <c r="AZ703" s="380"/>
      <c r="BA703" s="380"/>
      <c r="BB703" s="380"/>
      <c r="BC703" s="380"/>
      <c r="BD703" s="380"/>
      <c r="BE703" s="380"/>
      <c r="BF703" s="380"/>
      <c r="BG703" s="380"/>
      <c r="BH703" s="380"/>
      <c r="BI703" s="511"/>
      <c r="BJ703" s="380"/>
      <c r="BK703" s="380"/>
      <c r="BL703" s="380"/>
      <c r="BM703" s="380"/>
      <c r="BN703" s="380"/>
      <c r="BO703" s="380"/>
      <c r="BP703" s="380"/>
      <c r="BQ703" s="380"/>
      <c r="BR703" s="380"/>
    </row>
    <row r="704" spans="1:70" ht="12.75" customHeight="1" x14ac:dyDescent="0.25">
      <c r="A704" s="380"/>
      <c r="B704" s="380"/>
      <c r="C704" s="380"/>
      <c r="D704" s="380"/>
      <c r="E704" s="511"/>
      <c r="F704" s="511"/>
      <c r="G704" s="582"/>
      <c r="H704" s="511"/>
      <c r="I704" s="511"/>
      <c r="J704" s="582"/>
      <c r="K704" s="511"/>
      <c r="L704" s="511"/>
      <c r="M704" s="582"/>
      <c r="N704" s="582"/>
      <c r="O704" s="582"/>
      <c r="P704" s="582"/>
      <c r="Q704" s="511"/>
      <c r="R704" s="511"/>
      <c r="S704" s="511"/>
      <c r="T704" s="639"/>
      <c r="U704" s="511"/>
      <c r="V704" s="511"/>
      <c r="W704" s="511"/>
      <c r="X704" s="511"/>
      <c r="Y704" s="380"/>
      <c r="Z704" s="380"/>
      <c r="AA704" s="380"/>
      <c r="AB704" s="380"/>
      <c r="AC704" s="380"/>
      <c r="AD704" s="671"/>
      <c r="AE704" s="380"/>
      <c r="AF704" s="380"/>
      <c r="AG704" s="380"/>
      <c r="AH704" s="671"/>
      <c r="AI704" s="380"/>
      <c r="AJ704" s="583"/>
      <c r="AK704" s="583"/>
      <c r="AL704" s="511"/>
      <c r="AM704" s="584"/>
      <c r="AN704" s="584"/>
      <c r="AO704" s="584"/>
      <c r="AP704" s="671"/>
      <c r="AQ704" s="584"/>
      <c r="AR704" s="583"/>
      <c r="AS704" s="583"/>
      <c r="AT704" s="585"/>
      <c r="AU704" s="585"/>
      <c r="AV704" s="585"/>
      <c r="AW704" s="585"/>
      <c r="AX704" s="673"/>
      <c r="AY704" s="380"/>
      <c r="AZ704" s="380"/>
      <c r="BA704" s="380"/>
      <c r="BB704" s="380"/>
      <c r="BC704" s="380"/>
      <c r="BD704" s="380"/>
      <c r="BE704" s="380"/>
      <c r="BF704" s="380"/>
      <c r="BG704" s="380"/>
      <c r="BH704" s="380"/>
      <c r="BI704" s="511"/>
      <c r="BJ704" s="380"/>
      <c r="BK704" s="380"/>
      <c r="BL704" s="380"/>
      <c r="BM704" s="380"/>
      <c r="BN704" s="380"/>
      <c r="BO704" s="380"/>
      <c r="BP704" s="380"/>
      <c r="BQ704" s="380"/>
      <c r="BR704" s="380"/>
    </row>
    <row r="705" spans="1:70" ht="12.75" customHeight="1" x14ac:dyDescent="0.25">
      <c r="A705" s="380"/>
      <c r="B705" s="380"/>
      <c r="C705" s="380"/>
      <c r="D705" s="380"/>
      <c r="E705" s="511"/>
      <c r="F705" s="511"/>
      <c r="G705" s="582"/>
      <c r="H705" s="511"/>
      <c r="I705" s="511"/>
      <c r="J705" s="582"/>
      <c r="K705" s="511"/>
      <c r="L705" s="511"/>
      <c r="M705" s="582"/>
      <c r="N705" s="582"/>
      <c r="O705" s="582"/>
      <c r="P705" s="582"/>
      <c r="Q705" s="511"/>
      <c r="R705" s="511"/>
      <c r="S705" s="511"/>
      <c r="T705" s="639"/>
      <c r="U705" s="511"/>
      <c r="V705" s="511"/>
      <c r="W705" s="511"/>
      <c r="X705" s="511"/>
      <c r="Y705" s="380"/>
      <c r="Z705" s="380"/>
      <c r="AA705" s="380"/>
      <c r="AB705" s="380"/>
      <c r="AC705" s="380"/>
      <c r="AD705" s="671"/>
      <c r="AE705" s="380"/>
      <c r="AF705" s="380"/>
      <c r="AG705" s="380"/>
      <c r="AH705" s="671"/>
      <c r="AI705" s="380"/>
      <c r="AJ705" s="583"/>
      <c r="AK705" s="583"/>
      <c r="AL705" s="511"/>
      <c r="AM705" s="584"/>
      <c r="AN705" s="584"/>
      <c r="AO705" s="584"/>
      <c r="AP705" s="671"/>
      <c r="AQ705" s="584"/>
      <c r="AR705" s="583"/>
      <c r="AS705" s="583"/>
      <c r="AT705" s="585"/>
      <c r="AU705" s="585"/>
      <c r="AV705" s="585"/>
      <c r="AW705" s="585"/>
      <c r="AX705" s="673"/>
      <c r="AY705" s="380"/>
      <c r="AZ705" s="380"/>
      <c r="BA705" s="380"/>
      <c r="BB705" s="380"/>
      <c r="BC705" s="380"/>
      <c r="BD705" s="380"/>
      <c r="BE705" s="380"/>
      <c r="BF705" s="380"/>
      <c r="BG705" s="380"/>
      <c r="BH705" s="380"/>
      <c r="BI705" s="511"/>
      <c r="BJ705" s="380"/>
      <c r="BK705" s="380"/>
      <c r="BL705" s="380"/>
      <c r="BM705" s="380"/>
      <c r="BN705" s="380"/>
      <c r="BO705" s="380"/>
      <c r="BP705" s="380"/>
      <c r="BQ705" s="380"/>
      <c r="BR705" s="380"/>
    </row>
    <row r="706" spans="1:70" ht="12.75" customHeight="1" x14ac:dyDescent="0.25">
      <c r="A706" s="380"/>
      <c r="B706" s="380"/>
      <c r="C706" s="380"/>
      <c r="D706" s="380"/>
      <c r="E706" s="511"/>
      <c r="F706" s="511"/>
      <c r="G706" s="582"/>
      <c r="H706" s="511"/>
      <c r="I706" s="511"/>
      <c r="J706" s="582"/>
      <c r="K706" s="511"/>
      <c r="L706" s="511"/>
      <c r="M706" s="582"/>
      <c r="N706" s="582"/>
      <c r="O706" s="582"/>
      <c r="P706" s="582"/>
      <c r="Q706" s="511"/>
      <c r="R706" s="511"/>
      <c r="S706" s="511"/>
      <c r="T706" s="639"/>
      <c r="U706" s="511"/>
      <c r="V706" s="511"/>
      <c r="W706" s="511"/>
      <c r="X706" s="511"/>
      <c r="Y706" s="380"/>
      <c r="Z706" s="380"/>
      <c r="AA706" s="380"/>
      <c r="AB706" s="380"/>
      <c r="AC706" s="380"/>
      <c r="AD706" s="671"/>
      <c r="AE706" s="380"/>
      <c r="AF706" s="380"/>
      <c r="AG706" s="380"/>
      <c r="AH706" s="671"/>
      <c r="AI706" s="380"/>
      <c r="AJ706" s="583"/>
      <c r="AK706" s="583"/>
      <c r="AL706" s="511"/>
      <c r="AM706" s="584"/>
      <c r="AN706" s="584"/>
      <c r="AO706" s="584"/>
      <c r="AP706" s="671"/>
      <c r="AQ706" s="584"/>
      <c r="AR706" s="583"/>
      <c r="AS706" s="583"/>
      <c r="AT706" s="585"/>
      <c r="AU706" s="585"/>
      <c r="AV706" s="585"/>
      <c r="AW706" s="585"/>
      <c r="AX706" s="673"/>
      <c r="AY706" s="380"/>
      <c r="AZ706" s="380"/>
      <c r="BA706" s="380"/>
      <c r="BB706" s="380"/>
      <c r="BC706" s="380"/>
      <c r="BD706" s="380"/>
      <c r="BE706" s="380"/>
      <c r="BF706" s="380"/>
      <c r="BG706" s="380"/>
      <c r="BH706" s="380"/>
      <c r="BI706" s="511"/>
      <c r="BJ706" s="380"/>
      <c r="BK706" s="380"/>
      <c r="BL706" s="380"/>
      <c r="BM706" s="380"/>
      <c r="BN706" s="380"/>
      <c r="BO706" s="380"/>
      <c r="BP706" s="380"/>
      <c r="BQ706" s="380"/>
      <c r="BR706" s="380"/>
    </row>
    <row r="707" spans="1:70" ht="12.75" customHeight="1" x14ac:dyDescent="0.25">
      <c r="A707" s="380"/>
      <c r="B707" s="380"/>
      <c r="C707" s="380"/>
      <c r="D707" s="380"/>
      <c r="E707" s="511"/>
      <c r="F707" s="511"/>
      <c r="G707" s="582"/>
      <c r="H707" s="511"/>
      <c r="I707" s="511"/>
      <c r="J707" s="582"/>
      <c r="K707" s="511"/>
      <c r="L707" s="511"/>
      <c r="M707" s="582"/>
      <c r="N707" s="582"/>
      <c r="O707" s="582"/>
      <c r="P707" s="582"/>
      <c r="Q707" s="511"/>
      <c r="R707" s="511"/>
      <c r="S707" s="511"/>
      <c r="T707" s="639"/>
      <c r="U707" s="511"/>
      <c r="V707" s="511"/>
      <c r="W707" s="511"/>
      <c r="X707" s="511"/>
      <c r="Y707" s="380"/>
      <c r="Z707" s="380"/>
      <c r="AA707" s="380"/>
      <c r="AB707" s="380"/>
      <c r="AC707" s="380"/>
      <c r="AD707" s="671"/>
      <c r="AE707" s="380"/>
      <c r="AF707" s="380"/>
      <c r="AG707" s="380"/>
      <c r="AH707" s="671"/>
      <c r="AI707" s="380"/>
      <c r="AJ707" s="583"/>
      <c r="AK707" s="583"/>
      <c r="AL707" s="511"/>
      <c r="AM707" s="584"/>
      <c r="AN707" s="584"/>
      <c r="AO707" s="584"/>
      <c r="AP707" s="671"/>
      <c r="AQ707" s="584"/>
      <c r="AR707" s="583"/>
      <c r="AS707" s="583"/>
      <c r="AT707" s="585"/>
      <c r="AU707" s="585"/>
      <c r="AV707" s="585"/>
      <c r="AW707" s="585"/>
      <c r="AX707" s="673"/>
      <c r="AY707" s="380"/>
      <c r="AZ707" s="380"/>
      <c r="BA707" s="380"/>
      <c r="BB707" s="380"/>
      <c r="BC707" s="380"/>
      <c r="BD707" s="380"/>
      <c r="BE707" s="380"/>
      <c r="BF707" s="380"/>
      <c r="BG707" s="380"/>
      <c r="BH707" s="380"/>
      <c r="BI707" s="511"/>
      <c r="BJ707" s="380"/>
      <c r="BK707" s="380"/>
      <c r="BL707" s="380"/>
      <c r="BM707" s="380"/>
      <c r="BN707" s="380"/>
      <c r="BO707" s="380"/>
      <c r="BP707" s="380"/>
      <c r="BQ707" s="380"/>
      <c r="BR707" s="380"/>
    </row>
    <row r="708" spans="1:70" ht="12.75" customHeight="1" x14ac:dyDescent="0.25">
      <c r="A708" s="380"/>
      <c r="B708" s="380"/>
      <c r="C708" s="380"/>
      <c r="D708" s="380"/>
      <c r="E708" s="511"/>
      <c r="F708" s="511"/>
      <c r="G708" s="582"/>
      <c r="H708" s="511"/>
      <c r="I708" s="511"/>
      <c r="J708" s="582"/>
      <c r="K708" s="511"/>
      <c r="L708" s="511"/>
      <c r="M708" s="582"/>
      <c r="N708" s="582"/>
      <c r="O708" s="582"/>
      <c r="P708" s="582"/>
      <c r="Q708" s="511"/>
      <c r="R708" s="511"/>
      <c r="S708" s="511"/>
      <c r="T708" s="639"/>
      <c r="U708" s="511"/>
      <c r="V708" s="511"/>
      <c r="W708" s="511"/>
      <c r="X708" s="511"/>
      <c r="Y708" s="380"/>
      <c r="Z708" s="380"/>
      <c r="AA708" s="380"/>
      <c r="AB708" s="380"/>
      <c r="AC708" s="380"/>
      <c r="AD708" s="671"/>
      <c r="AE708" s="380"/>
      <c r="AF708" s="380"/>
      <c r="AG708" s="380"/>
      <c r="AH708" s="671"/>
      <c r="AI708" s="380"/>
      <c r="AJ708" s="583"/>
      <c r="AK708" s="583"/>
      <c r="AL708" s="511"/>
      <c r="AM708" s="584"/>
      <c r="AN708" s="584"/>
      <c r="AO708" s="584"/>
      <c r="AP708" s="671"/>
      <c r="AQ708" s="584"/>
      <c r="AR708" s="583"/>
      <c r="AS708" s="583"/>
      <c r="AT708" s="585"/>
      <c r="AU708" s="585"/>
      <c r="AV708" s="585"/>
      <c r="AW708" s="585"/>
      <c r="AX708" s="673"/>
      <c r="AY708" s="380"/>
      <c r="AZ708" s="380"/>
      <c r="BA708" s="380"/>
      <c r="BB708" s="380"/>
      <c r="BC708" s="380"/>
      <c r="BD708" s="380"/>
      <c r="BE708" s="380"/>
      <c r="BF708" s="380"/>
      <c r="BG708" s="380"/>
      <c r="BH708" s="380"/>
      <c r="BI708" s="511"/>
      <c r="BJ708" s="380"/>
      <c r="BK708" s="380"/>
      <c r="BL708" s="380"/>
      <c r="BM708" s="380"/>
      <c r="BN708" s="380"/>
      <c r="BO708" s="380"/>
      <c r="BP708" s="380"/>
      <c r="BQ708" s="380"/>
      <c r="BR708" s="380"/>
    </row>
    <row r="709" spans="1:70" ht="12.75" customHeight="1" x14ac:dyDescent="0.25">
      <c r="A709" s="380"/>
      <c r="B709" s="380"/>
      <c r="C709" s="380"/>
      <c r="D709" s="380"/>
      <c r="E709" s="511"/>
      <c r="F709" s="511"/>
      <c r="G709" s="582"/>
      <c r="H709" s="511"/>
      <c r="I709" s="511"/>
      <c r="J709" s="582"/>
      <c r="K709" s="511"/>
      <c r="L709" s="511"/>
      <c r="M709" s="582"/>
      <c r="N709" s="582"/>
      <c r="O709" s="582"/>
      <c r="P709" s="582"/>
      <c r="Q709" s="511"/>
      <c r="R709" s="511"/>
      <c r="S709" s="511"/>
      <c r="T709" s="639"/>
      <c r="U709" s="511"/>
      <c r="V709" s="511"/>
      <c r="W709" s="511"/>
      <c r="X709" s="511"/>
      <c r="Y709" s="380"/>
      <c r="Z709" s="380"/>
      <c r="AA709" s="380"/>
      <c r="AB709" s="380"/>
      <c r="AC709" s="380"/>
      <c r="AD709" s="671"/>
      <c r="AE709" s="380"/>
      <c r="AF709" s="380"/>
      <c r="AG709" s="380"/>
      <c r="AH709" s="671"/>
      <c r="AI709" s="380"/>
      <c r="AJ709" s="583"/>
      <c r="AK709" s="583"/>
      <c r="AL709" s="511"/>
      <c r="AM709" s="584"/>
      <c r="AN709" s="584"/>
      <c r="AO709" s="584"/>
      <c r="AP709" s="671"/>
      <c r="AQ709" s="584"/>
      <c r="AR709" s="583"/>
      <c r="AS709" s="583"/>
      <c r="AT709" s="585"/>
      <c r="AU709" s="585"/>
      <c r="AV709" s="585"/>
      <c r="AW709" s="585"/>
      <c r="AX709" s="673"/>
      <c r="AY709" s="380"/>
      <c r="AZ709" s="380"/>
      <c r="BA709" s="380"/>
      <c r="BB709" s="380"/>
      <c r="BC709" s="380"/>
      <c r="BD709" s="380"/>
      <c r="BE709" s="380"/>
      <c r="BF709" s="380"/>
      <c r="BG709" s="380"/>
      <c r="BH709" s="380"/>
      <c r="BI709" s="511"/>
      <c r="BJ709" s="380"/>
      <c r="BK709" s="380"/>
      <c r="BL709" s="380"/>
      <c r="BM709" s="380"/>
      <c r="BN709" s="380"/>
      <c r="BO709" s="380"/>
      <c r="BP709" s="380"/>
      <c r="BQ709" s="380"/>
      <c r="BR709" s="380"/>
    </row>
    <row r="710" spans="1:70" ht="12.75" customHeight="1" x14ac:dyDescent="0.25">
      <c r="A710" s="380"/>
      <c r="B710" s="380"/>
      <c r="C710" s="380"/>
      <c r="D710" s="380"/>
      <c r="E710" s="511"/>
      <c r="F710" s="511"/>
      <c r="G710" s="582"/>
      <c r="H710" s="511"/>
      <c r="I710" s="511"/>
      <c r="J710" s="582"/>
      <c r="K710" s="511"/>
      <c r="L710" s="511"/>
      <c r="M710" s="582"/>
      <c r="N710" s="582"/>
      <c r="O710" s="582"/>
      <c r="P710" s="582"/>
      <c r="Q710" s="511"/>
      <c r="R710" s="511"/>
      <c r="S710" s="511"/>
      <c r="T710" s="639"/>
      <c r="U710" s="511"/>
      <c r="V710" s="511"/>
      <c r="W710" s="511"/>
      <c r="X710" s="511"/>
      <c r="Y710" s="380"/>
      <c r="Z710" s="380"/>
      <c r="AA710" s="380"/>
      <c r="AB710" s="380"/>
      <c r="AC710" s="380"/>
      <c r="AD710" s="671"/>
      <c r="AE710" s="380"/>
      <c r="AF710" s="380"/>
      <c r="AG710" s="380"/>
      <c r="AH710" s="671"/>
      <c r="AI710" s="380"/>
      <c r="AJ710" s="583"/>
      <c r="AK710" s="583"/>
      <c r="AL710" s="511"/>
      <c r="AM710" s="584"/>
      <c r="AN710" s="584"/>
      <c r="AO710" s="584"/>
      <c r="AP710" s="671"/>
      <c r="AQ710" s="584"/>
      <c r="AR710" s="583"/>
      <c r="AS710" s="583"/>
      <c r="AT710" s="585"/>
      <c r="AU710" s="585"/>
      <c r="AV710" s="585"/>
      <c r="AW710" s="585"/>
      <c r="AX710" s="673"/>
      <c r="AY710" s="380"/>
      <c r="AZ710" s="380"/>
      <c r="BA710" s="380"/>
      <c r="BB710" s="380"/>
      <c r="BC710" s="380"/>
      <c r="BD710" s="380"/>
      <c r="BE710" s="380"/>
      <c r="BF710" s="380"/>
      <c r="BG710" s="380"/>
      <c r="BH710" s="380"/>
      <c r="BI710" s="511"/>
      <c r="BJ710" s="380"/>
      <c r="BK710" s="380"/>
      <c r="BL710" s="380"/>
      <c r="BM710" s="380"/>
      <c r="BN710" s="380"/>
      <c r="BO710" s="380"/>
      <c r="BP710" s="380"/>
      <c r="BQ710" s="380"/>
      <c r="BR710" s="380"/>
    </row>
    <row r="711" spans="1:70" ht="12.75" customHeight="1" x14ac:dyDescent="0.25">
      <c r="A711" s="380"/>
      <c r="B711" s="380"/>
      <c r="C711" s="380"/>
      <c r="D711" s="380"/>
      <c r="E711" s="511"/>
      <c r="F711" s="511"/>
      <c r="G711" s="582"/>
      <c r="H711" s="511"/>
      <c r="I711" s="511"/>
      <c r="J711" s="582"/>
      <c r="K711" s="511"/>
      <c r="L711" s="511"/>
      <c r="M711" s="582"/>
      <c r="N711" s="582"/>
      <c r="O711" s="582"/>
      <c r="P711" s="582"/>
      <c r="Q711" s="511"/>
      <c r="R711" s="511"/>
      <c r="S711" s="511"/>
      <c r="T711" s="639"/>
      <c r="U711" s="511"/>
      <c r="V711" s="511"/>
      <c r="W711" s="511"/>
      <c r="X711" s="511"/>
      <c r="Y711" s="380"/>
      <c r="Z711" s="380"/>
      <c r="AA711" s="380"/>
      <c r="AB711" s="380"/>
      <c r="AC711" s="380"/>
      <c r="AD711" s="671"/>
      <c r="AE711" s="380"/>
      <c r="AF711" s="380"/>
      <c r="AG711" s="380"/>
      <c r="AH711" s="671"/>
      <c r="AI711" s="380"/>
      <c r="AJ711" s="583"/>
      <c r="AK711" s="583"/>
      <c r="AL711" s="511"/>
      <c r="AM711" s="584"/>
      <c r="AN711" s="584"/>
      <c r="AO711" s="584"/>
      <c r="AP711" s="671"/>
      <c r="AQ711" s="584"/>
      <c r="AR711" s="583"/>
      <c r="AS711" s="583"/>
      <c r="AT711" s="585"/>
      <c r="AU711" s="585"/>
      <c r="AV711" s="585"/>
      <c r="AW711" s="585"/>
      <c r="AX711" s="673"/>
      <c r="AY711" s="380"/>
      <c r="AZ711" s="380"/>
      <c r="BA711" s="380"/>
      <c r="BB711" s="380"/>
      <c r="BC711" s="380"/>
      <c r="BD711" s="380"/>
      <c r="BE711" s="380"/>
      <c r="BF711" s="380"/>
      <c r="BG711" s="380"/>
      <c r="BH711" s="380"/>
      <c r="BI711" s="511"/>
      <c r="BJ711" s="380"/>
      <c r="BK711" s="380"/>
      <c r="BL711" s="380"/>
      <c r="BM711" s="380"/>
      <c r="BN711" s="380"/>
      <c r="BO711" s="380"/>
      <c r="BP711" s="380"/>
      <c r="BQ711" s="380"/>
      <c r="BR711" s="380"/>
    </row>
    <row r="712" spans="1:70" ht="12.75" customHeight="1" x14ac:dyDescent="0.25">
      <c r="A712" s="380"/>
      <c r="B712" s="380"/>
      <c r="C712" s="380"/>
      <c r="D712" s="380"/>
      <c r="E712" s="511"/>
      <c r="F712" s="511"/>
      <c r="G712" s="582"/>
      <c r="H712" s="511"/>
      <c r="I712" s="511"/>
      <c r="J712" s="582"/>
      <c r="K712" s="511"/>
      <c r="L712" s="511"/>
      <c r="M712" s="582"/>
      <c r="N712" s="582"/>
      <c r="O712" s="582"/>
      <c r="P712" s="582"/>
      <c r="Q712" s="511"/>
      <c r="R712" s="511"/>
      <c r="S712" s="511"/>
      <c r="T712" s="639"/>
      <c r="U712" s="511"/>
      <c r="V712" s="511"/>
      <c r="W712" s="511"/>
      <c r="X712" s="511"/>
      <c r="Y712" s="380"/>
      <c r="Z712" s="380"/>
      <c r="AA712" s="380"/>
      <c r="AB712" s="380"/>
      <c r="AC712" s="380"/>
      <c r="AD712" s="671"/>
      <c r="AE712" s="380"/>
      <c r="AF712" s="380"/>
      <c r="AG712" s="380"/>
      <c r="AH712" s="671"/>
      <c r="AI712" s="380"/>
      <c r="AJ712" s="583"/>
      <c r="AK712" s="583"/>
      <c r="AL712" s="511"/>
      <c r="AM712" s="584"/>
      <c r="AN712" s="584"/>
      <c r="AO712" s="584"/>
      <c r="AP712" s="671"/>
      <c r="AQ712" s="584"/>
      <c r="AR712" s="583"/>
      <c r="AS712" s="583"/>
      <c r="AT712" s="585"/>
      <c r="AU712" s="585"/>
      <c r="AV712" s="585"/>
      <c r="AW712" s="585"/>
      <c r="AX712" s="673"/>
      <c r="AY712" s="380"/>
      <c r="AZ712" s="380"/>
      <c r="BA712" s="380"/>
      <c r="BB712" s="380"/>
      <c r="BC712" s="380"/>
      <c r="BD712" s="380"/>
      <c r="BE712" s="380"/>
      <c r="BF712" s="380"/>
      <c r="BG712" s="380"/>
      <c r="BH712" s="380"/>
      <c r="BI712" s="511"/>
      <c r="BJ712" s="380"/>
      <c r="BK712" s="380"/>
      <c r="BL712" s="380"/>
      <c r="BM712" s="380"/>
      <c r="BN712" s="380"/>
      <c r="BO712" s="380"/>
      <c r="BP712" s="380"/>
      <c r="BQ712" s="380"/>
      <c r="BR712" s="380"/>
    </row>
    <row r="713" spans="1:70" ht="12.75" customHeight="1" x14ac:dyDescent="0.25">
      <c r="A713" s="380"/>
      <c r="B713" s="380"/>
      <c r="C713" s="380"/>
      <c r="D713" s="380"/>
      <c r="E713" s="511"/>
      <c r="F713" s="511"/>
      <c r="G713" s="582"/>
      <c r="H713" s="511"/>
      <c r="I713" s="511"/>
      <c r="J713" s="582"/>
      <c r="K713" s="511"/>
      <c r="L713" s="511"/>
      <c r="M713" s="582"/>
      <c r="N713" s="582"/>
      <c r="O713" s="582"/>
      <c r="P713" s="582"/>
      <c r="Q713" s="511"/>
      <c r="R713" s="511"/>
      <c r="S713" s="511"/>
      <c r="T713" s="639"/>
      <c r="U713" s="511"/>
      <c r="V713" s="511"/>
      <c r="W713" s="511"/>
      <c r="X713" s="511"/>
      <c r="Y713" s="380"/>
      <c r="Z713" s="380"/>
      <c r="AA713" s="380"/>
      <c r="AB713" s="380"/>
      <c r="AC713" s="380"/>
      <c r="AD713" s="671"/>
      <c r="AE713" s="380"/>
      <c r="AF713" s="380"/>
      <c r="AG713" s="380"/>
      <c r="AH713" s="671"/>
      <c r="AI713" s="380"/>
      <c r="AJ713" s="583"/>
      <c r="AK713" s="583"/>
      <c r="AL713" s="511"/>
      <c r="AM713" s="584"/>
      <c r="AN713" s="584"/>
      <c r="AO713" s="584"/>
      <c r="AP713" s="671"/>
      <c r="AQ713" s="584"/>
      <c r="AR713" s="583"/>
      <c r="AS713" s="583"/>
      <c r="AT713" s="585"/>
      <c r="AU713" s="585"/>
      <c r="AV713" s="585"/>
      <c r="AW713" s="585"/>
      <c r="AX713" s="673"/>
      <c r="AY713" s="380"/>
      <c r="AZ713" s="380"/>
      <c r="BA713" s="380"/>
      <c r="BB713" s="380"/>
      <c r="BC713" s="380"/>
      <c r="BD713" s="380"/>
      <c r="BE713" s="380"/>
      <c r="BF713" s="380"/>
      <c r="BG713" s="380"/>
      <c r="BH713" s="380"/>
      <c r="BI713" s="511"/>
      <c r="BJ713" s="380"/>
      <c r="BK713" s="380"/>
      <c r="BL713" s="380"/>
      <c r="BM713" s="380"/>
      <c r="BN713" s="380"/>
      <c r="BO713" s="380"/>
      <c r="BP713" s="380"/>
      <c r="BQ713" s="380"/>
      <c r="BR713" s="380"/>
    </row>
    <row r="714" spans="1:70" ht="12.75" customHeight="1" x14ac:dyDescent="0.25">
      <c r="A714" s="380"/>
      <c r="B714" s="380"/>
      <c r="C714" s="380"/>
      <c r="D714" s="380"/>
      <c r="E714" s="511"/>
      <c r="F714" s="511"/>
      <c r="G714" s="582"/>
      <c r="H714" s="511"/>
      <c r="I714" s="511"/>
      <c r="J714" s="582"/>
      <c r="K714" s="511"/>
      <c r="L714" s="511"/>
      <c r="M714" s="582"/>
      <c r="N714" s="582"/>
      <c r="O714" s="582"/>
      <c r="P714" s="582"/>
      <c r="Q714" s="511"/>
      <c r="R714" s="511"/>
      <c r="S714" s="511"/>
      <c r="T714" s="639"/>
      <c r="U714" s="511"/>
      <c r="V714" s="511"/>
      <c r="W714" s="511"/>
      <c r="X714" s="511"/>
      <c r="Y714" s="380"/>
      <c r="Z714" s="380"/>
      <c r="AA714" s="380"/>
      <c r="AB714" s="380"/>
      <c r="AC714" s="380"/>
      <c r="AD714" s="671"/>
      <c r="AE714" s="380"/>
      <c r="AF714" s="380"/>
      <c r="AG714" s="380"/>
      <c r="AH714" s="671"/>
      <c r="AI714" s="380"/>
      <c r="AJ714" s="583"/>
      <c r="AK714" s="583"/>
      <c r="AL714" s="511"/>
      <c r="AM714" s="584"/>
      <c r="AN714" s="584"/>
      <c r="AO714" s="584"/>
      <c r="AP714" s="671"/>
      <c r="AQ714" s="584"/>
      <c r="AR714" s="583"/>
      <c r="AS714" s="583"/>
      <c r="AT714" s="585"/>
      <c r="AU714" s="585"/>
      <c r="AV714" s="585"/>
      <c r="AW714" s="585"/>
      <c r="AX714" s="673"/>
      <c r="AY714" s="380"/>
      <c r="AZ714" s="380"/>
      <c r="BA714" s="380"/>
      <c r="BB714" s="380"/>
      <c r="BC714" s="380"/>
      <c r="BD714" s="380"/>
      <c r="BE714" s="380"/>
      <c r="BF714" s="380"/>
      <c r="BG714" s="380"/>
      <c r="BH714" s="380"/>
      <c r="BI714" s="511"/>
      <c r="BJ714" s="380"/>
      <c r="BK714" s="380"/>
      <c r="BL714" s="380"/>
      <c r="BM714" s="380"/>
      <c r="BN714" s="380"/>
      <c r="BO714" s="380"/>
      <c r="BP714" s="380"/>
      <c r="BQ714" s="380"/>
      <c r="BR714" s="380"/>
    </row>
    <row r="715" spans="1:70" ht="12.75" customHeight="1" x14ac:dyDescent="0.25">
      <c r="A715" s="380"/>
      <c r="B715" s="380"/>
      <c r="C715" s="380"/>
      <c r="D715" s="380"/>
      <c r="E715" s="511"/>
      <c r="F715" s="511"/>
      <c r="G715" s="582"/>
      <c r="H715" s="511"/>
      <c r="I715" s="511"/>
      <c r="J715" s="582"/>
      <c r="K715" s="511"/>
      <c r="L715" s="511"/>
      <c r="M715" s="582"/>
      <c r="N715" s="582"/>
      <c r="O715" s="582"/>
      <c r="P715" s="582"/>
      <c r="Q715" s="511"/>
      <c r="R715" s="511"/>
      <c r="S715" s="511"/>
      <c r="T715" s="639"/>
      <c r="U715" s="511"/>
      <c r="V715" s="511"/>
      <c r="W715" s="511"/>
      <c r="X715" s="511"/>
      <c r="Y715" s="380"/>
      <c r="Z715" s="380"/>
      <c r="AA715" s="380"/>
      <c r="AB715" s="380"/>
      <c r="AC715" s="380"/>
      <c r="AD715" s="671"/>
      <c r="AE715" s="380"/>
      <c r="AF715" s="380"/>
      <c r="AG715" s="380"/>
      <c r="AH715" s="671"/>
      <c r="AI715" s="380"/>
      <c r="AJ715" s="583"/>
      <c r="AK715" s="583"/>
      <c r="AL715" s="511"/>
      <c r="AM715" s="584"/>
      <c r="AN715" s="584"/>
      <c r="AO715" s="584"/>
      <c r="AP715" s="671"/>
      <c r="AQ715" s="584"/>
      <c r="AR715" s="583"/>
      <c r="AS715" s="583"/>
      <c r="AT715" s="585"/>
      <c r="AU715" s="585"/>
      <c r="AV715" s="585"/>
      <c r="AW715" s="585"/>
      <c r="AX715" s="673"/>
      <c r="AY715" s="380"/>
      <c r="AZ715" s="380"/>
      <c r="BA715" s="380"/>
      <c r="BB715" s="380"/>
      <c r="BC715" s="380"/>
      <c r="BD715" s="380"/>
      <c r="BE715" s="380"/>
      <c r="BF715" s="380"/>
      <c r="BG715" s="380"/>
      <c r="BH715" s="380"/>
      <c r="BI715" s="511"/>
      <c r="BJ715" s="380"/>
      <c r="BK715" s="380"/>
      <c r="BL715" s="380"/>
      <c r="BM715" s="380"/>
      <c r="BN715" s="380"/>
      <c r="BO715" s="380"/>
      <c r="BP715" s="380"/>
      <c r="BQ715" s="380"/>
      <c r="BR715" s="380"/>
    </row>
    <row r="716" spans="1:70" ht="12.75" customHeight="1" x14ac:dyDescent="0.25">
      <c r="A716" s="380"/>
      <c r="B716" s="380"/>
      <c r="C716" s="380"/>
      <c r="D716" s="380"/>
      <c r="E716" s="511"/>
      <c r="F716" s="511"/>
      <c r="G716" s="582"/>
      <c r="H716" s="511"/>
      <c r="I716" s="511"/>
      <c r="J716" s="582"/>
      <c r="K716" s="511"/>
      <c r="L716" s="511"/>
      <c r="M716" s="582"/>
      <c r="N716" s="582"/>
      <c r="O716" s="582"/>
      <c r="P716" s="582"/>
      <c r="Q716" s="511"/>
      <c r="R716" s="511"/>
      <c r="S716" s="511"/>
      <c r="T716" s="639"/>
      <c r="U716" s="511"/>
      <c r="V716" s="511"/>
      <c r="W716" s="511"/>
      <c r="X716" s="511"/>
      <c r="Y716" s="380"/>
      <c r="Z716" s="380"/>
      <c r="AA716" s="380"/>
      <c r="AB716" s="380"/>
      <c r="AC716" s="380"/>
      <c r="AD716" s="671"/>
      <c r="AE716" s="380"/>
      <c r="AF716" s="380"/>
      <c r="AG716" s="380"/>
      <c r="AH716" s="671"/>
      <c r="AI716" s="380"/>
      <c r="AJ716" s="583"/>
      <c r="AK716" s="583"/>
      <c r="AL716" s="511"/>
      <c r="AM716" s="584"/>
      <c r="AN716" s="584"/>
      <c r="AO716" s="584"/>
      <c r="AP716" s="671"/>
      <c r="AQ716" s="584"/>
      <c r="AR716" s="583"/>
      <c r="AS716" s="583"/>
      <c r="AT716" s="585"/>
      <c r="AU716" s="585"/>
      <c r="AV716" s="585"/>
      <c r="AW716" s="585"/>
      <c r="AX716" s="673"/>
      <c r="AY716" s="380"/>
      <c r="AZ716" s="380"/>
      <c r="BA716" s="380"/>
      <c r="BB716" s="380"/>
      <c r="BC716" s="380"/>
      <c r="BD716" s="380"/>
      <c r="BE716" s="380"/>
      <c r="BF716" s="380"/>
      <c r="BG716" s="380"/>
      <c r="BH716" s="380"/>
      <c r="BI716" s="511"/>
      <c r="BJ716" s="380"/>
      <c r="BK716" s="380"/>
      <c r="BL716" s="380"/>
      <c r="BM716" s="380"/>
      <c r="BN716" s="380"/>
      <c r="BO716" s="380"/>
      <c r="BP716" s="380"/>
      <c r="BQ716" s="380"/>
      <c r="BR716" s="380"/>
    </row>
    <row r="717" spans="1:70" ht="12.75" customHeight="1" x14ac:dyDescent="0.25">
      <c r="A717" s="380"/>
      <c r="B717" s="380"/>
      <c r="C717" s="380"/>
      <c r="D717" s="380"/>
      <c r="E717" s="511"/>
      <c r="F717" s="511"/>
      <c r="G717" s="582"/>
      <c r="H717" s="511"/>
      <c r="I717" s="511"/>
      <c r="J717" s="582"/>
      <c r="K717" s="511"/>
      <c r="L717" s="511"/>
      <c r="M717" s="582"/>
      <c r="N717" s="582"/>
      <c r="O717" s="582"/>
      <c r="P717" s="582"/>
      <c r="Q717" s="511"/>
      <c r="R717" s="511"/>
      <c r="S717" s="511"/>
      <c r="T717" s="639"/>
      <c r="U717" s="511"/>
      <c r="V717" s="511"/>
      <c r="W717" s="511"/>
      <c r="X717" s="511"/>
      <c r="Y717" s="380"/>
      <c r="Z717" s="380"/>
      <c r="AA717" s="380"/>
      <c r="AB717" s="380"/>
      <c r="AC717" s="380"/>
      <c r="AD717" s="671"/>
      <c r="AE717" s="380"/>
      <c r="AF717" s="380"/>
      <c r="AG717" s="380"/>
      <c r="AH717" s="671"/>
      <c r="AI717" s="380"/>
      <c r="AJ717" s="583"/>
      <c r="AK717" s="583"/>
      <c r="AL717" s="511"/>
      <c r="AM717" s="584"/>
      <c r="AN717" s="584"/>
      <c r="AO717" s="584"/>
      <c r="AP717" s="671"/>
      <c r="AQ717" s="584"/>
      <c r="AR717" s="583"/>
      <c r="AS717" s="583"/>
      <c r="AT717" s="585"/>
      <c r="AU717" s="585"/>
      <c r="AV717" s="585"/>
      <c r="AW717" s="585"/>
      <c r="AX717" s="673"/>
      <c r="AY717" s="380"/>
      <c r="AZ717" s="380"/>
      <c r="BA717" s="380"/>
      <c r="BB717" s="380"/>
      <c r="BC717" s="380"/>
      <c r="BD717" s="380"/>
      <c r="BE717" s="380"/>
      <c r="BF717" s="380"/>
      <c r="BG717" s="380"/>
      <c r="BH717" s="380"/>
      <c r="BI717" s="511"/>
      <c r="BJ717" s="380"/>
      <c r="BK717" s="380"/>
      <c r="BL717" s="380"/>
      <c r="BM717" s="380"/>
      <c r="BN717" s="380"/>
      <c r="BO717" s="380"/>
      <c r="BP717" s="380"/>
      <c r="BQ717" s="380"/>
      <c r="BR717" s="380"/>
    </row>
    <row r="718" spans="1:70" ht="12.75" customHeight="1" x14ac:dyDescent="0.25">
      <c r="A718" s="380"/>
      <c r="B718" s="380"/>
      <c r="C718" s="380"/>
      <c r="D718" s="380"/>
      <c r="E718" s="511"/>
      <c r="F718" s="511"/>
      <c r="G718" s="582"/>
      <c r="H718" s="511"/>
      <c r="I718" s="511"/>
      <c r="J718" s="582"/>
      <c r="K718" s="511"/>
      <c r="L718" s="511"/>
      <c r="M718" s="582"/>
      <c r="N718" s="582"/>
      <c r="O718" s="582"/>
      <c r="P718" s="582"/>
      <c r="Q718" s="511"/>
      <c r="R718" s="511"/>
      <c r="S718" s="511"/>
      <c r="T718" s="639"/>
      <c r="U718" s="511"/>
      <c r="V718" s="511"/>
      <c r="W718" s="511"/>
      <c r="X718" s="511"/>
      <c r="Y718" s="380"/>
      <c r="Z718" s="380"/>
      <c r="AA718" s="380"/>
      <c r="AB718" s="380"/>
      <c r="AC718" s="380"/>
      <c r="AD718" s="671"/>
      <c r="AE718" s="380"/>
      <c r="AF718" s="380"/>
      <c r="AG718" s="380"/>
      <c r="AH718" s="671"/>
      <c r="AI718" s="380"/>
      <c r="AJ718" s="583"/>
      <c r="AK718" s="583"/>
      <c r="AL718" s="511"/>
      <c r="AM718" s="584"/>
      <c r="AN718" s="584"/>
      <c r="AO718" s="584"/>
      <c r="AP718" s="671"/>
      <c r="AQ718" s="584"/>
      <c r="AR718" s="583"/>
      <c r="AS718" s="583"/>
      <c r="AT718" s="585"/>
      <c r="AU718" s="585"/>
      <c r="AV718" s="585"/>
      <c r="AW718" s="585"/>
      <c r="AX718" s="673"/>
      <c r="AY718" s="380"/>
      <c r="AZ718" s="380"/>
      <c r="BA718" s="380"/>
      <c r="BB718" s="380"/>
      <c r="BC718" s="380"/>
      <c r="BD718" s="380"/>
      <c r="BE718" s="380"/>
      <c r="BF718" s="380"/>
      <c r="BG718" s="380"/>
      <c r="BH718" s="380"/>
      <c r="BI718" s="511"/>
      <c r="BJ718" s="380"/>
      <c r="BK718" s="380"/>
      <c r="BL718" s="380"/>
      <c r="BM718" s="380"/>
      <c r="BN718" s="380"/>
      <c r="BO718" s="380"/>
      <c r="BP718" s="380"/>
      <c r="BQ718" s="380"/>
      <c r="BR718" s="380"/>
    </row>
    <row r="719" spans="1:70" ht="12.75" customHeight="1" x14ac:dyDescent="0.25">
      <c r="A719" s="380"/>
      <c r="B719" s="380"/>
      <c r="C719" s="380"/>
      <c r="D719" s="380"/>
      <c r="E719" s="511"/>
      <c r="F719" s="511"/>
      <c r="G719" s="582"/>
      <c r="H719" s="511"/>
      <c r="I719" s="511"/>
      <c r="J719" s="582"/>
      <c r="K719" s="511"/>
      <c r="L719" s="511"/>
      <c r="M719" s="582"/>
      <c r="N719" s="582"/>
      <c r="O719" s="582"/>
      <c r="P719" s="582"/>
      <c r="Q719" s="511"/>
      <c r="R719" s="511"/>
      <c r="S719" s="511"/>
      <c r="T719" s="639"/>
      <c r="U719" s="511"/>
      <c r="V719" s="511"/>
      <c r="W719" s="511"/>
      <c r="X719" s="511"/>
      <c r="Y719" s="380"/>
      <c r="Z719" s="380"/>
      <c r="AA719" s="380"/>
      <c r="AB719" s="380"/>
      <c r="AC719" s="380"/>
      <c r="AD719" s="671"/>
      <c r="AE719" s="380"/>
      <c r="AF719" s="380"/>
      <c r="AG719" s="380"/>
      <c r="AH719" s="671"/>
      <c r="AI719" s="380"/>
      <c r="AJ719" s="583"/>
      <c r="AK719" s="583"/>
      <c r="AL719" s="511"/>
      <c r="AM719" s="584"/>
      <c r="AN719" s="584"/>
      <c r="AO719" s="584"/>
      <c r="AP719" s="671"/>
      <c r="AQ719" s="584"/>
      <c r="AR719" s="583"/>
      <c r="AS719" s="583"/>
      <c r="AT719" s="585"/>
      <c r="AU719" s="585"/>
      <c r="AV719" s="585"/>
      <c r="AW719" s="585"/>
      <c r="AX719" s="673"/>
      <c r="AY719" s="380"/>
      <c r="AZ719" s="380"/>
      <c r="BA719" s="380"/>
      <c r="BB719" s="380"/>
      <c r="BC719" s="380"/>
      <c r="BD719" s="380"/>
      <c r="BE719" s="380"/>
      <c r="BF719" s="380"/>
      <c r="BG719" s="380"/>
      <c r="BH719" s="380"/>
      <c r="BI719" s="511"/>
      <c r="BJ719" s="380"/>
      <c r="BK719" s="380"/>
      <c r="BL719" s="380"/>
      <c r="BM719" s="380"/>
      <c r="BN719" s="380"/>
      <c r="BO719" s="380"/>
      <c r="BP719" s="380"/>
      <c r="BQ719" s="380"/>
      <c r="BR719" s="380"/>
    </row>
    <row r="720" spans="1:70" ht="12.75" customHeight="1" x14ac:dyDescent="0.25">
      <c r="A720" s="380"/>
      <c r="B720" s="380"/>
      <c r="C720" s="380"/>
      <c r="D720" s="380"/>
      <c r="E720" s="511"/>
      <c r="F720" s="511"/>
      <c r="G720" s="582"/>
      <c r="H720" s="511"/>
      <c r="I720" s="511"/>
      <c r="J720" s="582"/>
      <c r="K720" s="511"/>
      <c r="L720" s="511"/>
      <c r="M720" s="582"/>
      <c r="N720" s="582"/>
      <c r="O720" s="582"/>
      <c r="P720" s="582"/>
      <c r="Q720" s="511"/>
      <c r="R720" s="511"/>
      <c r="S720" s="511"/>
      <c r="T720" s="639"/>
      <c r="U720" s="511"/>
      <c r="V720" s="511"/>
      <c r="W720" s="511"/>
      <c r="X720" s="511"/>
      <c r="Y720" s="380"/>
      <c r="Z720" s="380"/>
      <c r="AA720" s="380"/>
      <c r="AB720" s="380"/>
      <c r="AC720" s="380"/>
      <c r="AD720" s="671"/>
      <c r="AE720" s="380"/>
      <c r="AF720" s="380"/>
      <c r="AG720" s="380"/>
      <c r="AH720" s="671"/>
      <c r="AI720" s="380"/>
      <c r="AJ720" s="583"/>
      <c r="AK720" s="583"/>
      <c r="AL720" s="511"/>
      <c r="AM720" s="584"/>
      <c r="AN720" s="584"/>
      <c r="AO720" s="584"/>
      <c r="AP720" s="671"/>
      <c r="AQ720" s="584"/>
      <c r="AR720" s="583"/>
      <c r="AS720" s="583"/>
      <c r="AT720" s="585"/>
      <c r="AU720" s="585"/>
      <c r="AV720" s="585"/>
      <c r="AW720" s="585"/>
      <c r="AX720" s="673"/>
      <c r="AY720" s="380"/>
      <c r="AZ720" s="380"/>
      <c r="BA720" s="380"/>
      <c r="BB720" s="380"/>
      <c r="BC720" s="380"/>
      <c r="BD720" s="380"/>
      <c r="BE720" s="380"/>
      <c r="BF720" s="380"/>
      <c r="BG720" s="380"/>
      <c r="BH720" s="380"/>
      <c r="BI720" s="511"/>
      <c r="BJ720" s="380"/>
      <c r="BK720" s="380"/>
      <c r="BL720" s="380"/>
      <c r="BM720" s="380"/>
      <c r="BN720" s="380"/>
      <c r="BO720" s="380"/>
      <c r="BP720" s="380"/>
      <c r="BQ720" s="380"/>
      <c r="BR720" s="380"/>
    </row>
    <row r="721" spans="1:70" ht="12.75" customHeight="1" x14ac:dyDescent="0.25">
      <c r="A721" s="380"/>
      <c r="B721" s="380"/>
      <c r="C721" s="380"/>
      <c r="D721" s="380"/>
      <c r="E721" s="511"/>
      <c r="F721" s="511"/>
      <c r="G721" s="582"/>
      <c r="H721" s="511"/>
      <c r="I721" s="511"/>
      <c r="J721" s="582"/>
      <c r="K721" s="511"/>
      <c r="L721" s="511"/>
      <c r="M721" s="582"/>
      <c r="N721" s="582"/>
      <c r="O721" s="582"/>
      <c r="P721" s="582"/>
      <c r="Q721" s="511"/>
      <c r="R721" s="511"/>
      <c r="S721" s="511"/>
      <c r="T721" s="639"/>
      <c r="U721" s="511"/>
      <c r="V721" s="511"/>
      <c r="W721" s="511"/>
      <c r="X721" s="511"/>
      <c r="Y721" s="380"/>
      <c r="Z721" s="380"/>
      <c r="AA721" s="380"/>
      <c r="AB721" s="380"/>
      <c r="AC721" s="380"/>
      <c r="AD721" s="671"/>
      <c r="AE721" s="380"/>
      <c r="AF721" s="380"/>
      <c r="AG721" s="380"/>
      <c r="AH721" s="671"/>
      <c r="AI721" s="380"/>
      <c r="AJ721" s="583"/>
      <c r="AK721" s="583"/>
      <c r="AL721" s="511"/>
      <c r="AM721" s="584"/>
      <c r="AN721" s="584"/>
      <c r="AO721" s="584"/>
      <c r="AP721" s="671"/>
      <c r="AQ721" s="584"/>
      <c r="AR721" s="583"/>
      <c r="AS721" s="583"/>
      <c r="AT721" s="585"/>
      <c r="AU721" s="585"/>
      <c r="AV721" s="585"/>
      <c r="AW721" s="585"/>
      <c r="AX721" s="673"/>
      <c r="AY721" s="380"/>
      <c r="AZ721" s="380"/>
      <c r="BA721" s="380"/>
      <c r="BB721" s="380"/>
      <c r="BC721" s="380"/>
      <c r="BD721" s="380"/>
      <c r="BE721" s="380"/>
      <c r="BF721" s="380"/>
      <c r="BG721" s="380"/>
      <c r="BH721" s="380"/>
      <c r="BI721" s="511"/>
      <c r="BJ721" s="380"/>
      <c r="BK721" s="380"/>
      <c r="BL721" s="380"/>
      <c r="BM721" s="380"/>
      <c r="BN721" s="380"/>
      <c r="BO721" s="380"/>
      <c r="BP721" s="380"/>
      <c r="BQ721" s="380"/>
      <c r="BR721" s="380"/>
    </row>
    <row r="722" spans="1:70" ht="12.75" customHeight="1" x14ac:dyDescent="0.25">
      <c r="A722" s="380"/>
      <c r="B722" s="380"/>
      <c r="C722" s="380"/>
      <c r="D722" s="380"/>
      <c r="E722" s="511"/>
      <c r="F722" s="511"/>
      <c r="G722" s="582"/>
      <c r="H722" s="511"/>
      <c r="I722" s="511"/>
      <c r="J722" s="582"/>
      <c r="K722" s="511"/>
      <c r="L722" s="511"/>
      <c r="M722" s="582"/>
      <c r="N722" s="582"/>
      <c r="O722" s="582"/>
      <c r="P722" s="582"/>
      <c r="Q722" s="511"/>
      <c r="R722" s="511"/>
      <c r="S722" s="511"/>
      <c r="T722" s="639"/>
      <c r="U722" s="511"/>
      <c r="V722" s="511"/>
      <c r="W722" s="511"/>
      <c r="X722" s="511"/>
      <c r="Y722" s="380"/>
      <c r="Z722" s="380"/>
      <c r="AA722" s="380"/>
      <c r="AB722" s="380"/>
      <c r="AC722" s="380"/>
      <c r="AD722" s="671"/>
      <c r="AE722" s="380"/>
      <c r="AF722" s="380"/>
      <c r="AG722" s="380"/>
      <c r="AH722" s="671"/>
      <c r="AI722" s="380"/>
      <c r="AJ722" s="583"/>
      <c r="AK722" s="583"/>
      <c r="AL722" s="511"/>
      <c r="AM722" s="584"/>
      <c r="AN722" s="584"/>
      <c r="AO722" s="584"/>
      <c r="AP722" s="671"/>
      <c r="AQ722" s="584"/>
      <c r="AR722" s="583"/>
      <c r="AS722" s="583"/>
      <c r="AT722" s="585"/>
      <c r="AU722" s="585"/>
      <c r="AV722" s="585"/>
      <c r="AW722" s="585"/>
      <c r="AX722" s="673"/>
      <c r="AY722" s="380"/>
      <c r="AZ722" s="380"/>
      <c r="BA722" s="380"/>
      <c r="BB722" s="380"/>
      <c r="BC722" s="380"/>
      <c r="BD722" s="380"/>
      <c r="BE722" s="380"/>
      <c r="BF722" s="380"/>
      <c r="BG722" s="380"/>
      <c r="BH722" s="380"/>
      <c r="BI722" s="511"/>
      <c r="BJ722" s="380"/>
      <c r="BK722" s="380"/>
      <c r="BL722" s="380"/>
      <c r="BM722" s="380"/>
      <c r="BN722" s="380"/>
      <c r="BO722" s="380"/>
      <c r="BP722" s="380"/>
      <c r="BQ722" s="380"/>
      <c r="BR722" s="380"/>
    </row>
    <row r="723" spans="1:70" ht="12.75" customHeight="1" x14ac:dyDescent="0.25">
      <c r="A723" s="380"/>
      <c r="B723" s="380"/>
      <c r="C723" s="380"/>
      <c r="D723" s="380"/>
      <c r="E723" s="511"/>
      <c r="F723" s="511"/>
      <c r="G723" s="582"/>
      <c r="H723" s="511"/>
      <c r="I723" s="511"/>
      <c r="J723" s="582"/>
      <c r="K723" s="511"/>
      <c r="L723" s="511"/>
      <c r="M723" s="582"/>
      <c r="N723" s="582"/>
      <c r="O723" s="582"/>
      <c r="P723" s="582"/>
      <c r="Q723" s="511"/>
      <c r="R723" s="511"/>
      <c r="S723" s="511"/>
      <c r="T723" s="639"/>
      <c r="U723" s="511"/>
      <c r="V723" s="511"/>
      <c r="W723" s="511"/>
      <c r="X723" s="511"/>
      <c r="Y723" s="380"/>
      <c r="Z723" s="380"/>
      <c r="AA723" s="380"/>
      <c r="AB723" s="380"/>
      <c r="AC723" s="380"/>
      <c r="AD723" s="671"/>
      <c r="AE723" s="380"/>
      <c r="AF723" s="380"/>
      <c r="AG723" s="380"/>
      <c r="AH723" s="671"/>
      <c r="AI723" s="380"/>
      <c r="AJ723" s="583"/>
      <c r="AK723" s="583"/>
      <c r="AL723" s="511"/>
      <c r="AM723" s="584"/>
      <c r="AN723" s="584"/>
      <c r="AO723" s="584"/>
      <c r="AP723" s="671"/>
      <c r="AQ723" s="584"/>
      <c r="AR723" s="583"/>
      <c r="AS723" s="583"/>
      <c r="AT723" s="585"/>
      <c r="AU723" s="585"/>
      <c r="AV723" s="585"/>
      <c r="AW723" s="585"/>
      <c r="AX723" s="673"/>
      <c r="AY723" s="380"/>
      <c r="AZ723" s="380"/>
      <c r="BA723" s="380"/>
      <c r="BB723" s="380"/>
      <c r="BC723" s="380"/>
      <c r="BD723" s="380"/>
      <c r="BE723" s="380"/>
      <c r="BF723" s="380"/>
      <c r="BG723" s="380"/>
      <c r="BH723" s="380"/>
      <c r="BI723" s="511"/>
      <c r="BJ723" s="380"/>
      <c r="BK723" s="380"/>
      <c r="BL723" s="380"/>
      <c r="BM723" s="380"/>
      <c r="BN723" s="380"/>
      <c r="BO723" s="380"/>
      <c r="BP723" s="380"/>
      <c r="BQ723" s="380"/>
      <c r="BR723" s="380"/>
    </row>
    <row r="724" spans="1:70" ht="12.75" customHeight="1" x14ac:dyDescent="0.25">
      <c r="A724" s="380"/>
      <c r="B724" s="380"/>
      <c r="C724" s="380"/>
      <c r="D724" s="380"/>
      <c r="E724" s="511"/>
      <c r="F724" s="511"/>
      <c r="G724" s="582"/>
      <c r="H724" s="511"/>
      <c r="I724" s="511"/>
      <c r="J724" s="582"/>
      <c r="K724" s="511"/>
      <c r="L724" s="511"/>
      <c r="M724" s="582"/>
      <c r="N724" s="582"/>
      <c r="O724" s="582"/>
      <c r="P724" s="582"/>
      <c r="Q724" s="511"/>
      <c r="R724" s="511"/>
      <c r="S724" s="511"/>
      <c r="T724" s="639"/>
      <c r="U724" s="511"/>
      <c r="V724" s="511"/>
      <c r="W724" s="511"/>
      <c r="X724" s="511"/>
      <c r="Y724" s="380"/>
      <c r="Z724" s="380"/>
      <c r="AA724" s="380"/>
      <c r="AB724" s="380"/>
      <c r="AC724" s="380"/>
      <c r="AD724" s="671"/>
      <c r="AE724" s="380"/>
      <c r="AF724" s="380"/>
      <c r="AG724" s="380"/>
      <c r="AH724" s="671"/>
      <c r="AI724" s="380"/>
      <c r="AJ724" s="583"/>
      <c r="AK724" s="583"/>
      <c r="AL724" s="511"/>
      <c r="AM724" s="584"/>
      <c r="AN724" s="584"/>
      <c r="AO724" s="584"/>
      <c r="AP724" s="671"/>
      <c r="AQ724" s="584"/>
      <c r="AR724" s="583"/>
      <c r="AS724" s="583"/>
      <c r="AT724" s="585"/>
      <c r="AU724" s="585"/>
      <c r="AV724" s="585"/>
      <c r="AW724" s="585"/>
      <c r="AX724" s="673"/>
      <c r="AY724" s="380"/>
      <c r="AZ724" s="380"/>
      <c r="BA724" s="380"/>
      <c r="BB724" s="380"/>
      <c r="BC724" s="380"/>
      <c r="BD724" s="380"/>
      <c r="BE724" s="380"/>
      <c r="BF724" s="380"/>
      <c r="BG724" s="380"/>
      <c r="BH724" s="380"/>
      <c r="BI724" s="511"/>
      <c r="BJ724" s="380"/>
      <c r="BK724" s="380"/>
      <c r="BL724" s="380"/>
      <c r="BM724" s="380"/>
      <c r="BN724" s="380"/>
      <c r="BO724" s="380"/>
      <c r="BP724" s="380"/>
      <c r="BQ724" s="380"/>
      <c r="BR724" s="380"/>
    </row>
    <row r="725" spans="1:70" ht="12.75" customHeight="1" x14ac:dyDescent="0.25">
      <c r="A725" s="380"/>
      <c r="B725" s="380"/>
      <c r="C725" s="380"/>
      <c r="D725" s="380"/>
      <c r="E725" s="511"/>
      <c r="F725" s="511"/>
      <c r="G725" s="582"/>
      <c r="H725" s="511"/>
      <c r="I725" s="511"/>
      <c r="J725" s="582"/>
      <c r="K725" s="511"/>
      <c r="L725" s="511"/>
      <c r="M725" s="582"/>
      <c r="N725" s="582"/>
      <c r="O725" s="582"/>
      <c r="P725" s="582"/>
      <c r="Q725" s="511"/>
      <c r="R725" s="511"/>
      <c r="S725" s="511"/>
      <c r="T725" s="639"/>
      <c r="U725" s="511"/>
      <c r="V725" s="511"/>
      <c r="W725" s="511"/>
      <c r="X725" s="511"/>
      <c r="Y725" s="380"/>
      <c r="Z725" s="380"/>
      <c r="AA725" s="380"/>
      <c r="AB725" s="380"/>
      <c r="AC725" s="380"/>
      <c r="AD725" s="671"/>
      <c r="AE725" s="380"/>
      <c r="AF725" s="380"/>
      <c r="AG725" s="380"/>
      <c r="AH725" s="671"/>
      <c r="AI725" s="380"/>
      <c r="AJ725" s="583"/>
      <c r="AK725" s="583"/>
      <c r="AL725" s="511"/>
      <c r="AM725" s="584"/>
      <c r="AN725" s="584"/>
      <c r="AO725" s="584"/>
      <c r="AP725" s="671"/>
      <c r="AQ725" s="584"/>
      <c r="AR725" s="583"/>
      <c r="AS725" s="583"/>
      <c r="AT725" s="585"/>
      <c r="AU725" s="585"/>
      <c r="AV725" s="585"/>
      <c r="AW725" s="585"/>
      <c r="AX725" s="673"/>
      <c r="AY725" s="380"/>
      <c r="AZ725" s="380"/>
      <c r="BA725" s="380"/>
      <c r="BB725" s="380"/>
      <c r="BC725" s="380"/>
      <c r="BD725" s="380"/>
      <c r="BE725" s="380"/>
      <c r="BF725" s="380"/>
      <c r="BG725" s="380"/>
      <c r="BH725" s="380"/>
      <c r="BI725" s="511"/>
      <c r="BJ725" s="380"/>
      <c r="BK725" s="380"/>
      <c r="BL725" s="380"/>
      <c r="BM725" s="380"/>
      <c r="BN725" s="380"/>
      <c r="BO725" s="380"/>
      <c r="BP725" s="380"/>
      <c r="BQ725" s="380"/>
      <c r="BR725" s="380"/>
    </row>
    <row r="726" spans="1:70" ht="12.75" customHeight="1" x14ac:dyDescent="0.25">
      <c r="A726" s="380"/>
      <c r="B726" s="380"/>
      <c r="C726" s="380"/>
      <c r="D726" s="380"/>
      <c r="E726" s="511"/>
      <c r="F726" s="511"/>
      <c r="G726" s="582"/>
      <c r="H726" s="511"/>
      <c r="I726" s="511"/>
      <c r="J726" s="582"/>
      <c r="K726" s="511"/>
      <c r="L726" s="511"/>
      <c r="M726" s="582"/>
      <c r="N726" s="582"/>
      <c r="O726" s="582"/>
      <c r="P726" s="582"/>
      <c r="Q726" s="511"/>
      <c r="R726" s="511"/>
      <c r="S726" s="511"/>
      <c r="T726" s="639"/>
      <c r="U726" s="511"/>
      <c r="V726" s="511"/>
      <c r="W726" s="511"/>
      <c r="X726" s="511"/>
      <c r="Y726" s="380"/>
      <c r="Z726" s="380"/>
      <c r="AA726" s="380"/>
      <c r="AB726" s="380"/>
      <c r="AC726" s="380"/>
      <c r="AD726" s="671"/>
      <c r="AE726" s="380"/>
      <c r="AF726" s="380"/>
      <c r="AG726" s="380"/>
      <c r="AH726" s="671"/>
      <c r="AI726" s="380"/>
      <c r="AJ726" s="583"/>
      <c r="AK726" s="583"/>
      <c r="AL726" s="511"/>
      <c r="AM726" s="584"/>
      <c r="AN726" s="584"/>
      <c r="AO726" s="584"/>
      <c r="AP726" s="671"/>
      <c r="AQ726" s="584"/>
      <c r="AR726" s="583"/>
      <c r="AS726" s="583"/>
      <c r="AT726" s="585"/>
      <c r="AU726" s="585"/>
      <c r="AV726" s="585"/>
      <c r="AW726" s="585"/>
      <c r="AX726" s="673"/>
      <c r="AY726" s="380"/>
      <c r="AZ726" s="380"/>
      <c r="BA726" s="380"/>
      <c r="BB726" s="380"/>
      <c r="BC726" s="380"/>
      <c r="BD726" s="380"/>
      <c r="BE726" s="380"/>
      <c r="BF726" s="380"/>
      <c r="BG726" s="380"/>
      <c r="BH726" s="380"/>
      <c r="BI726" s="511"/>
      <c r="BJ726" s="380"/>
      <c r="BK726" s="380"/>
      <c r="BL726" s="380"/>
      <c r="BM726" s="380"/>
      <c r="BN726" s="380"/>
      <c r="BO726" s="380"/>
      <c r="BP726" s="380"/>
      <c r="BQ726" s="380"/>
      <c r="BR726" s="380"/>
    </row>
    <row r="727" spans="1:70" ht="12.75" customHeight="1" x14ac:dyDescent="0.25">
      <c r="A727" s="380"/>
      <c r="B727" s="380"/>
      <c r="C727" s="380"/>
      <c r="D727" s="380"/>
      <c r="E727" s="511"/>
      <c r="F727" s="511"/>
      <c r="G727" s="582"/>
      <c r="H727" s="511"/>
      <c r="I727" s="511"/>
      <c r="J727" s="582"/>
      <c r="K727" s="511"/>
      <c r="L727" s="511"/>
      <c r="M727" s="582"/>
      <c r="N727" s="582"/>
      <c r="O727" s="582"/>
      <c r="P727" s="582"/>
      <c r="Q727" s="511"/>
      <c r="R727" s="511"/>
      <c r="S727" s="511"/>
      <c r="T727" s="639"/>
      <c r="U727" s="511"/>
      <c r="V727" s="511"/>
      <c r="W727" s="511"/>
      <c r="X727" s="511"/>
      <c r="Y727" s="380"/>
      <c r="Z727" s="380"/>
      <c r="AA727" s="380"/>
      <c r="AB727" s="380"/>
      <c r="AC727" s="380"/>
      <c r="AD727" s="671"/>
      <c r="AE727" s="380"/>
      <c r="AF727" s="380"/>
      <c r="AG727" s="380"/>
      <c r="AH727" s="671"/>
      <c r="AI727" s="380"/>
      <c r="AJ727" s="583"/>
      <c r="AK727" s="583"/>
      <c r="AL727" s="511"/>
      <c r="AM727" s="584"/>
      <c r="AN727" s="584"/>
      <c r="AO727" s="584"/>
      <c r="AP727" s="671"/>
      <c r="AQ727" s="584"/>
      <c r="AR727" s="583"/>
      <c r="AS727" s="583"/>
      <c r="AT727" s="585"/>
      <c r="AU727" s="585"/>
      <c r="AV727" s="585"/>
      <c r="AW727" s="585"/>
      <c r="AX727" s="673"/>
      <c r="AY727" s="380"/>
      <c r="AZ727" s="380"/>
      <c r="BA727" s="380"/>
      <c r="BB727" s="380"/>
      <c r="BC727" s="380"/>
      <c r="BD727" s="380"/>
      <c r="BE727" s="380"/>
      <c r="BF727" s="380"/>
      <c r="BG727" s="380"/>
      <c r="BH727" s="380"/>
      <c r="BI727" s="511"/>
      <c r="BJ727" s="380"/>
      <c r="BK727" s="380"/>
      <c r="BL727" s="380"/>
      <c r="BM727" s="380"/>
      <c r="BN727" s="380"/>
      <c r="BO727" s="380"/>
      <c r="BP727" s="380"/>
      <c r="BQ727" s="380"/>
      <c r="BR727" s="380"/>
    </row>
    <row r="728" spans="1:70" ht="12.75" customHeight="1" x14ac:dyDescent="0.25">
      <c r="A728" s="380"/>
      <c r="B728" s="380"/>
      <c r="C728" s="380"/>
      <c r="D728" s="380"/>
      <c r="E728" s="511"/>
      <c r="F728" s="511"/>
      <c r="G728" s="582"/>
      <c r="H728" s="511"/>
      <c r="I728" s="511"/>
      <c r="J728" s="582"/>
      <c r="K728" s="511"/>
      <c r="L728" s="511"/>
      <c r="M728" s="582"/>
      <c r="N728" s="582"/>
      <c r="O728" s="582"/>
      <c r="P728" s="582"/>
      <c r="Q728" s="511"/>
      <c r="R728" s="511"/>
      <c r="S728" s="511"/>
      <c r="T728" s="639"/>
      <c r="U728" s="511"/>
      <c r="V728" s="511"/>
      <c r="W728" s="511"/>
      <c r="X728" s="511"/>
      <c r="Y728" s="380"/>
      <c r="Z728" s="380"/>
      <c r="AA728" s="380"/>
      <c r="AB728" s="380"/>
      <c r="AC728" s="380"/>
      <c r="AD728" s="671"/>
      <c r="AE728" s="380"/>
      <c r="AF728" s="380"/>
      <c r="AG728" s="380"/>
      <c r="AH728" s="671"/>
      <c r="AI728" s="380"/>
      <c r="AJ728" s="583"/>
      <c r="AK728" s="583"/>
      <c r="AL728" s="511"/>
      <c r="AM728" s="584"/>
      <c r="AN728" s="584"/>
      <c r="AO728" s="584"/>
      <c r="AP728" s="671"/>
      <c r="AQ728" s="584"/>
      <c r="AR728" s="583"/>
      <c r="AS728" s="583"/>
      <c r="AT728" s="585"/>
      <c r="AU728" s="585"/>
      <c r="AV728" s="585"/>
      <c r="AW728" s="585"/>
      <c r="AX728" s="673"/>
      <c r="AY728" s="380"/>
      <c r="AZ728" s="380"/>
      <c r="BA728" s="380"/>
      <c r="BB728" s="380"/>
      <c r="BC728" s="380"/>
      <c r="BD728" s="380"/>
      <c r="BE728" s="380"/>
      <c r="BF728" s="380"/>
      <c r="BG728" s="380"/>
      <c r="BH728" s="380"/>
      <c r="BI728" s="511"/>
      <c r="BJ728" s="380"/>
      <c r="BK728" s="380"/>
      <c r="BL728" s="380"/>
      <c r="BM728" s="380"/>
      <c r="BN728" s="380"/>
      <c r="BO728" s="380"/>
      <c r="BP728" s="380"/>
      <c r="BQ728" s="380"/>
      <c r="BR728" s="380"/>
    </row>
    <row r="729" spans="1:70" ht="12.75" customHeight="1" x14ac:dyDescent="0.25">
      <c r="A729" s="380"/>
      <c r="B729" s="380"/>
      <c r="C729" s="380"/>
      <c r="D729" s="380"/>
      <c r="E729" s="511"/>
      <c r="F729" s="511"/>
      <c r="G729" s="582"/>
      <c r="H729" s="511"/>
      <c r="I729" s="511"/>
      <c r="J729" s="582"/>
      <c r="K729" s="511"/>
      <c r="L729" s="511"/>
      <c r="M729" s="582"/>
      <c r="N729" s="582"/>
      <c r="O729" s="582"/>
      <c r="P729" s="582"/>
      <c r="Q729" s="511"/>
      <c r="R729" s="511"/>
      <c r="S729" s="511"/>
      <c r="T729" s="639"/>
      <c r="U729" s="511"/>
      <c r="V729" s="511"/>
      <c r="W729" s="511"/>
      <c r="X729" s="511"/>
      <c r="Y729" s="380"/>
      <c r="Z729" s="380"/>
      <c r="AA729" s="380"/>
      <c r="AB729" s="380"/>
      <c r="AC729" s="380"/>
      <c r="AD729" s="671"/>
      <c r="AE729" s="380"/>
      <c r="AF729" s="380"/>
      <c r="AG729" s="380"/>
      <c r="AH729" s="671"/>
      <c r="AI729" s="380"/>
      <c r="AJ729" s="583"/>
      <c r="AK729" s="583"/>
      <c r="AL729" s="511"/>
      <c r="AM729" s="584"/>
      <c r="AN729" s="584"/>
      <c r="AO729" s="584"/>
      <c r="AP729" s="671"/>
      <c r="AQ729" s="584"/>
      <c r="AR729" s="583"/>
      <c r="AS729" s="583"/>
      <c r="AT729" s="585"/>
      <c r="AU729" s="585"/>
      <c r="AV729" s="585"/>
      <c r="AW729" s="585"/>
      <c r="AX729" s="673"/>
      <c r="AY729" s="380"/>
      <c r="AZ729" s="380"/>
      <c r="BA729" s="380"/>
      <c r="BB729" s="380"/>
      <c r="BC729" s="380"/>
      <c r="BD729" s="380"/>
      <c r="BE729" s="380"/>
      <c r="BF729" s="380"/>
      <c r="BG729" s="380"/>
      <c r="BH729" s="380"/>
      <c r="BI729" s="511"/>
      <c r="BJ729" s="380"/>
      <c r="BK729" s="380"/>
      <c r="BL729" s="380"/>
      <c r="BM729" s="380"/>
      <c r="BN729" s="380"/>
      <c r="BO729" s="380"/>
      <c r="BP729" s="380"/>
      <c r="BQ729" s="380"/>
      <c r="BR729" s="380"/>
    </row>
    <row r="730" spans="1:70" ht="12.75" customHeight="1" x14ac:dyDescent="0.25">
      <c r="A730" s="380"/>
      <c r="B730" s="380"/>
      <c r="C730" s="380"/>
      <c r="D730" s="380"/>
      <c r="E730" s="511"/>
      <c r="F730" s="511"/>
      <c r="G730" s="582"/>
      <c r="H730" s="511"/>
      <c r="I730" s="511"/>
      <c r="J730" s="582"/>
      <c r="K730" s="511"/>
      <c r="L730" s="511"/>
      <c r="M730" s="582"/>
      <c r="N730" s="582"/>
      <c r="O730" s="582"/>
      <c r="P730" s="582"/>
      <c r="Q730" s="511"/>
      <c r="R730" s="511"/>
      <c r="S730" s="511"/>
      <c r="T730" s="639"/>
      <c r="U730" s="511"/>
      <c r="V730" s="511"/>
      <c r="W730" s="511"/>
      <c r="X730" s="511"/>
      <c r="Y730" s="380"/>
      <c r="Z730" s="380"/>
      <c r="AA730" s="380"/>
      <c r="AB730" s="380"/>
      <c r="AC730" s="380"/>
      <c r="AD730" s="671"/>
      <c r="AE730" s="380"/>
      <c r="AF730" s="380"/>
      <c r="AG730" s="380"/>
      <c r="AH730" s="671"/>
      <c r="AI730" s="380"/>
      <c r="AJ730" s="583"/>
      <c r="AK730" s="583"/>
      <c r="AL730" s="511"/>
      <c r="AM730" s="584"/>
      <c r="AN730" s="584"/>
      <c r="AO730" s="584"/>
      <c r="AP730" s="671"/>
      <c r="AQ730" s="584"/>
      <c r="AR730" s="583"/>
      <c r="AS730" s="583"/>
      <c r="AT730" s="585"/>
      <c r="AU730" s="585"/>
      <c r="AV730" s="585"/>
      <c r="AW730" s="585"/>
      <c r="AX730" s="673"/>
      <c r="AY730" s="380"/>
      <c r="AZ730" s="380"/>
      <c r="BA730" s="380"/>
      <c r="BB730" s="380"/>
      <c r="BC730" s="380"/>
      <c r="BD730" s="380"/>
      <c r="BE730" s="380"/>
      <c r="BF730" s="380"/>
      <c r="BG730" s="380"/>
      <c r="BH730" s="380"/>
      <c r="BI730" s="511"/>
      <c r="BJ730" s="380"/>
      <c r="BK730" s="380"/>
      <c r="BL730" s="380"/>
      <c r="BM730" s="380"/>
      <c r="BN730" s="380"/>
      <c r="BO730" s="380"/>
      <c r="BP730" s="380"/>
      <c r="BQ730" s="380"/>
      <c r="BR730" s="380"/>
    </row>
    <row r="731" spans="1:70" ht="12.75" customHeight="1" x14ac:dyDescent="0.25">
      <c r="A731" s="380"/>
      <c r="B731" s="380"/>
      <c r="C731" s="380"/>
      <c r="D731" s="380"/>
      <c r="E731" s="511"/>
      <c r="F731" s="511"/>
      <c r="G731" s="582"/>
      <c r="H731" s="511"/>
      <c r="I731" s="511"/>
      <c r="J731" s="582"/>
      <c r="K731" s="511"/>
      <c r="L731" s="511"/>
      <c r="M731" s="582"/>
      <c r="N731" s="582"/>
      <c r="O731" s="582"/>
      <c r="P731" s="582"/>
      <c r="Q731" s="511"/>
      <c r="R731" s="511"/>
      <c r="S731" s="511"/>
      <c r="T731" s="639"/>
      <c r="U731" s="511"/>
      <c r="V731" s="511"/>
      <c r="W731" s="511"/>
      <c r="X731" s="511"/>
      <c r="Y731" s="380"/>
      <c r="Z731" s="380"/>
      <c r="AA731" s="380"/>
      <c r="AB731" s="380"/>
      <c r="AC731" s="380"/>
      <c r="AD731" s="671"/>
      <c r="AE731" s="380"/>
      <c r="AF731" s="380"/>
      <c r="AG731" s="380"/>
      <c r="AH731" s="671"/>
      <c r="AI731" s="380"/>
      <c r="AJ731" s="583"/>
      <c r="AK731" s="583"/>
      <c r="AL731" s="511"/>
      <c r="AM731" s="584"/>
      <c r="AN731" s="584"/>
      <c r="AO731" s="584"/>
      <c r="AP731" s="671"/>
      <c r="AQ731" s="584"/>
      <c r="AR731" s="583"/>
      <c r="AS731" s="583"/>
      <c r="AT731" s="585"/>
      <c r="AU731" s="585"/>
      <c r="AV731" s="585"/>
      <c r="AW731" s="585"/>
      <c r="AX731" s="673"/>
      <c r="AY731" s="380"/>
      <c r="AZ731" s="380"/>
      <c r="BA731" s="380"/>
      <c r="BB731" s="380"/>
      <c r="BC731" s="380"/>
      <c r="BD731" s="380"/>
      <c r="BE731" s="380"/>
      <c r="BF731" s="380"/>
      <c r="BG731" s="380"/>
      <c r="BH731" s="380"/>
      <c r="BI731" s="511"/>
      <c r="BJ731" s="380"/>
      <c r="BK731" s="380"/>
      <c r="BL731" s="380"/>
      <c r="BM731" s="380"/>
      <c r="BN731" s="380"/>
      <c r="BO731" s="380"/>
      <c r="BP731" s="380"/>
      <c r="BQ731" s="380"/>
      <c r="BR731" s="380"/>
    </row>
    <row r="732" spans="1:70" ht="12.75" customHeight="1" x14ac:dyDescent="0.25">
      <c r="A732" s="380"/>
      <c r="B732" s="380"/>
      <c r="C732" s="380"/>
      <c r="D732" s="380"/>
      <c r="E732" s="511"/>
      <c r="F732" s="511"/>
      <c r="G732" s="582"/>
      <c r="H732" s="511"/>
      <c r="I732" s="511"/>
      <c r="J732" s="582"/>
      <c r="K732" s="511"/>
      <c r="L732" s="511"/>
      <c r="M732" s="582"/>
      <c r="N732" s="582"/>
      <c r="O732" s="582"/>
      <c r="P732" s="582"/>
      <c r="Q732" s="511"/>
      <c r="R732" s="511"/>
      <c r="S732" s="511"/>
      <c r="T732" s="639"/>
      <c r="U732" s="511"/>
      <c r="V732" s="511"/>
      <c r="W732" s="511"/>
      <c r="X732" s="511"/>
      <c r="Y732" s="380"/>
      <c r="Z732" s="380"/>
      <c r="AA732" s="380"/>
      <c r="AB732" s="380"/>
      <c r="AC732" s="380"/>
      <c r="AD732" s="671"/>
      <c r="AE732" s="380"/>
      <c r="AF732" s="380"/>
      <c r="AG732" s="380"/>
      <c r="AH732" s="671"/>
      <c r="AI732" s="380"/>
      <c r="AJ732" s="583"/>
      <c r="AK732" s="583"/>
      <c r="AL732" s="511"/>
      <c r="AM732" s="584"/>
      <c r="AN732" s="584"/>
      <c r="AO732" s="584"/>
      <c r="AP732" s="671"/>
      <c r="AQ732" s="584"/>
      <c r="AR732" s="583"/>
      <c r="AS732" s="583"/>
      <c r="AT732" s="585"/>
      <c r="AU732" s="585"/>
      <c r="AV732" s="585"/>
      <c r="AW732" s="585"/>
      <c r="AX732" s="673"/>
      <c r="AY732" s="380"/>
      <c r="AZ732" s="380"/>
      <c r="BA732" s="380"/>
      <c r="BB732" s="380"/>
      <c r="BC732" s="380"/>
      <c r="BD732" s="380"/>
      <c r="BE732" s="380"/>
      <c r="BF732" s="380"/>
      <c r="BG732" s="380"/>
      <c r="BH732" s="380"/>
      <c r="BI732" s="511"/>
      <c r="BJ732" s="380"/>
      <c r="BK732" s="380"/>
      <c r="BL732" s="380"/>
      <c r="BM732" s="380"/>
      <c r="BN732" s="380"/>
      <c r="BO732" s="380"/>
      <c r="BP732" s="380"/>
      <c r="BQ732" s="380"/>
      <c r="BR732" s="380"/>
    </row>
    <row r="733" spans="1:70" ht="12.75" customHeight="1" x14ac:dyDescent="0.25">
      <c r="A733" s="380"/>
      <c r="B733" s="380"/>
      <c r="C733" s="380"/>
      <c r="D733" s="380"/>
      <c r="E733" s="511"/>
      <c r="F733" s="511"/>
      <c r="G733" s="582"/>
      <c r="H733" s="511"/>
      <c r="I733" s="511"/>
      <c r="J733" s="582"/>
      <c r="K733" s="511"/>
      <c r="L733" s="511"/>
      <c r="M733" s="582"/>
      <c r="N733" s="582"/>
      <c r="O733" s="582"/>
      <c r="P733" s="582"/>
      <c r="Q733" s="511"/>
      <c r="R733" s="511"/>
      <c r="S733" s="511"/>
      <c r="T733" s="639"/>
      <c r="U733" s="511"/>
      <c r="V733" s="511"/>
      <c r="W733" s="511"/>
      <c r="X733" s="511"/>
      <c r="Y733" s="380"/>
      <c r="Z733" s="380"/>
      <c r="AA733" s="380"/>
      <c r="AB733" s="380"/>
      <c r="AC733" s="380"/>
      <c r="AD733" s="671"/>
      <c r="AE733" s="380"/>
      <c r="AF733" s="380"/>
      <c r="AG733" s="380"/>
      <c r="AH733" s="671"/>
      <c r="AI733" s="380"/>
      <c r="AJ733" s="583"/>
      <c r="AK733" s="583"/>
      <c r="AL733" s="511"/>
      <c r="AM733" s="584"/>
      <c r="AN733" s="584"/>
      <c r="AO733" s="584"/>
      <c r="AP733" s="671"/>
      <c r="AQ733" s="584"/>
      <c r="AR733" s="583"/>
      <c r="AS733" s="583"/>
      <c r="AT733" s="585"/>
      <c r="AU733" s="585"/>
      <c r="AV733" s="585"/>
      <c r="AW733" s="585"/>
      <c r="AX733" s="673"/>
      <c r="AY733" s="380"/>
      <c r="AZ733" s="380"/>
      <c r="BA733" s="380"/>
      <c r="BB733" s="380"/>
      <c r="BC733" s="380"/>
      <c r="BD733" s="380"/>
      <c r="BE733" s="380"/>
      <c r="BF733" s="380"/>
      <c r="BG733" s="380"/>
      <c r="BH733" s="380"/>
      <c r="BI733" s="511"/>
      <c r="BJ733" s="380"/>
      <c r="BK733" s="380"/>
      <c r="BL733" s="380"/>
      <c r="BM733" s="380"/>
      <c r="BN733" s="380"/>
      <c r="BO733" s="380"/>
      <c r="BP733" s="380"/>
      <c r="BQ733" s="380"/>
      <c r="BR733" s="380"/>
    </row>
    <row r="734" spans="1:70" ht="12.75" customHeight="1" x14ac:dyDescent="0.25">
      <c r="A734" s="380"/>
      <c r="B734" s="380"/>
      <c r="C734" s="380"/>
      <c r="D734" s="380"/>
      <c r="E734" s="511"/>
      <c r="F734" s="511"/>
      <c r="G734" s="582"/>
      <c r="H734" s="511"/>
      <c r="I734" s="511"/>
      <c r="J734" s="582"/>
      <c r="K734" s="511"/>
      <c r="L734" s="511"/>
      <c r="M734" s="582"/>
      <c r="N734" s="582"/>
      <c r="O734" s="582"/>
      <c r="P734" s="582"/>
      <c r="Q734" s="511"/>
      <c r="R734" s="511"/>
      <c r="S734" s="511"/>
      <c r="T734" s="639"/>
      <c r="U734" s="511"/>
      <c r="V734" s="511"/>
      <c r="W734" s="511"/>
      <c r="X734" s="511"/>
      <c r="Y734" s="380"/>
      <c r="Z734" s="380"/>
      <c r="AA734" s="380"/>
      <c r="AB734" s="380"/>
      <c r="AC734" s="380"/>
      <c r="AD734" s="671"/>
      <c r="AE734" s="380"/>
      <c r="AF734" s="380"/>
      <c r="AG734" s="380"/>
      <c r="AH734" s="671"/>
      <c r="AI734" s="380"/>
      <c r="AJ734" s="583"/>
      <c r="AK734" s="583"/>
      <c r="AL734" s="511"/>
      <c r="AM734" s="584"/>
      <c r="AN734" s="584"/>
      <c r="AO734" s="584"/>
      <c r="AP734" s="671"/>
      <c r="AQ734" s="584"/>
      <c r="AR734" s="583"/>
      <c r="AS734" s="583"/>
      <c r="AT734" s="585"/>
      <c r="AU734" s="585"/>
      <c r="AV734" s="585"/>
      <c r="AW734" s="585"/>
      <c r="AX734" s="673"/>
      <c r="AY734" s="380"/>
      <c r="AZ734" s="380"/>
      <c r="BA734" s="380"/>
      <c r="BB734" s="380"/>
      <c r="BC734" s="380"/>
      <c r="BD734" s="380"/>
      <c r="BE734" s="380"/>
      <c r="BF734" s="380"/>
      <c r="BG734" s="380"/>
      <c r="BH734" s="380"/>
      <c r="BI734" s="511"/>
      <c r="BJ734" s="380"/>
      <c r="BK734" s="380"/>
      <c r="BL734" s="380"/>
      <c r="BM734" s="380"/>
      <c r="BN734" s="380"/>
      <c r="BO734" s="380"/>
      <c r="BP734" s="380"/>
      <c r="BQ734" s="380"/>
      <c r="BR734" s="380"/>
    </row>
    <row r="735" spans="1:70" ht="12.75" customHeight="1" x14ac:dyDescent="0.25">
      <c r="A735" s="380"/>
      <c r="B735" s="380"/>
      <c r="C735" s="380"/>
      <c r="D735" s="380"/>
      <c r="E735" s="511"/>
      <c r="F735" s="511"/>
      <c r="G735" s="582"/>
      <c r="H735" s="511"/>
      <c r="I735" s="511"/>
      <c r="J735" s="582"/>
      <c r="K735" s="511"/>
      <c r="L735" s="511"/>
      <c r="M735" s="582"/>
      <c r="N735" s="582"/>
      <c r="O735" s="582"/>
      <c r="P735" s="582"/>
      <c r="Q735" s="511"/>
      <c r="R735" s="511"/>
      <c r="S735" s="511"/>
      <c r="T735" s="639"/>
      <c r="U735" s="511"/>
      <c r="V735" s="511"/>
      <c r="W735" s="511"/>
      <c r="X735" s="511"/>
      <c r="Y735" s="380"/>
      <c r="Z735" s="380"/>
      <c r="AA735" s="380"/>
      <c r="AB735" s="380"/>
      <c r="AC735" s="380"/>
      <c r="AD735" s="671"/>
      <c r="AE735" s="380"/>
      <c r="AF735" s="380"/>
      <c r="AG735" s="380"/>
      <c r="AH735" s="671"/>
      <c r="AI735" s="380"/>
      <c r="AJ735" s="583"/>
      <c r="AK735" s="583"/>
      <c r="AL735" s="511"/>
      <c r="AM735" s="584"/>
      <c r="AN735" s="584"/>
      <c r="AO735" s="584"/>
      <c r="AP735" s="671"/>
      <c r="AQ735" s="584"/>
      <c r="AR735" s="583"/>
      <c r="AS735" s="583"/>
      <c r="AT735" s="585"/>
      <c r="AU735" s="585"/>
      <c r="AV735" s="585"/>
      <c r="AW735" s="585"/>
      <c r="AX735" s="673"/>
      <c r="AY735" s="380"/>
      <c r="AZ735" s="380"/>
      <c r="BA735" s="380"/>
      <c r="BB735" s="380"/>
      <c r="BC735" s="380"/>
      <c r="BD735" s="380"/>
      <c r="BE735" s="380"/>
      <c r="BF735" s="380"/>
      <c r="BG735" s="380"/>
      <c r="BH735" s="380"/>
      <c r="BI735" s="511"/>
      <c r="BJ735" s="380"/>
      <c r="BK735" s="380"/>
      <c r="BL735" s="380"/>
      <c r="BM735" s="380"/>
      <c r="BN735" s="380"/>
      <c r="BO735" s="380"/>
      <c r="BP735" s="380"/>
      <c r="BQ735" s="380"/>
      <c r="BR735" s="380"/>
    </row>
    <row r="736" spans="1:70" ht="12.75" customHeight="1" x14ac:dyDescent="0.25">
      <c r="A736" s="380"/>
      <c r="B736" s="380"/>
      <c r="C736" s="380"/>
      <c r="D736" s="380"/>
      <c r="E736" s="511"/>
      <c r="F736" s="511"/>
      <c r="G736" s="582"/>
      <c r="H736" s="511"/>
      <c r="I736" s="511"/>
      <c r="J736" s="582"/>
      <c r="K736" s="511"/>
      <c r="L736" s="511"/>
      <c r="M736" s="582"/>
      <c r="N736" s="582"/>
      <c r="O736" s="582"/>
      <c r="P736" s="582"/>
      <c r="Q736" s="511"/>
      <c r="R736" s="511"/>
      <c r="S736" s="511"/>
      <c r="T736" s="639"/>
      <c r="U736" s="511"/>
      <c r="V736" s="511"/>
      <c r="W736" s="511"/>
      <c r="X736" s="511"/>
      <c r="Y736" s="380"/>
      <c r="Z736" s="380"/>
      <c r="AA736" s="380"/>
      <c r="AB736" s="380"/>
      <c r="AC736" s="380"/>
      <c r="AD736" s="671"/>
      <c r="AE736" s="380"/>
      <c r="AF736" s="380"/>
      <c r="AG736" s="380"/>
      <c r="AH736" s="671"/>
      <c r="AI736" s="380"/>
      <c r="AJ736" s="583"/>
      <c r="AK736" s="583"/>
      <c r="AL736" s="511"/>
      <c r="AM736" s="584"/>
      <c r="AN736" s="584"/>
      <c r="AO736" s="584"/>
      <c r="AP736" s="671"/>
      <c r="AQ736" s="584"/>
      <c r="AR736" s="583"/>
      <c r="AS736" s="583"/>
      <c r="AT736" s="585"/>
      <c r="AU736" s="585"/>
      <c r="AV736" s="585"/>
      <c r="AW736" s="585"/>
      <c r="AX736" s="673"/>
      <c r="AY736" s="380"/>
      <c r="AZ736" s="380"/>
      <c r="BA736" s="380"/>
      <c r="BB736" s="380"/>
      <c r="BC736" s="380"/>
      <c r="BD736" s="380"/>
      <c r="BE736" s="380"/>
      <c r="BF736" s="380"/>
      <c r="BG736" s="380"/>
      <c r="BH736" s="380"/>
      <c r="BI736" s="511"/>
      <c r="BJ736" s="380"/>
      <c r="BK736" s="380"/>
      <c r="BL736" s="380"/>
      <c r="BM736" s="380"/>
      <c r="BN736" s="380"/>
      <c r="BO736" s="380"/>
      <c r="BP736" s="380"/>
      <c r="BQ736" s="380"/>
      <c r="BR736" s="380"/>
    </row>
    <row r="737" spans="1:70" ht="12.75" customHeight="1" x14ac:dyDescent="0.25">
      <c r="A737" s="380"/>
      <c r="B737" s="380"/>
      <c r="C737" s="380"/>
      <c r="D737" s="380"/>
      <c r="E737" s="511"/>
      <c r="F737" s="511"/>
      <c r="G737" s="582"/>
      <c r="H737" s="511"/>
      <c r="I737" s="511"/>
      <c r="J737" s="582"/>
      <c r="K737" s="511"/>
      <c r="L737" s="511"/>
      <c r="M737" s="582"/>
      <c r="N737" s="582"/>
      <c r="O737" s="582"/>
      <c r="P737" s="582"/>
      <c r="Q737" s="511"/>
      <c r="R737" s="511"/>
      <c r="S737" s="511"/>
      <c r="T737" s="639"/>
      <c r="U737" s="511"/>
      <c r="V737" s="511"/>
      <c r="W737" s="511"/>
      <c r="X737" s="511"/>
      <c r="Y737" s="380"/>
      <c r="Z737" s="380"/>
      <c r="AA737" s="380"/>
      <c r="AB737" s="380"/>
      <c r="AC737" s="380"/>
      <c r="AD737" s="671"/>
      <c r="AE737" s="380"/>
      <c r="AF737" s="380"/>
      <c r="AG737" s="380"/>
      <c r="AH737" s="671"/>
      <c r="AI737" s="380"/>
      <c r="AJ737" s="583"/>
      <c r="AK737" s="583"/>
      <c r="AL737" s="511"/>
      <c r="AM737" s="584"/>
      <c r="AN737" s="584"/>
      <c r="AO737" s="584"/>
      <c r="AP737" s="671"/>
      <c r="AQ737" s="584"/>
      <c r="AR737" s="583"/>
      <c r="AS737" s="583"/>
      <c r="AT737" s="585"/>
      <c r="AU737" s="585"/>
      <c r="AV737" s="585"/>
      <c r="AW737" s="585"/>
      <c r="AX737" s="673"/>
      <c r="AY737" s="380"/>
      <c r="AZ737" s="380"/>
      <c r="BA737" s="380"/>
      <c r="BB737" s="380"/>
      <c r="BC737" s="380"/>
      <c r="BD737" s="380"/>
      <c r="BE737" s="380"/>
      <c r="BF737" s="380"/>
      <c r="BG737" s="380"/>
      <c r="BH737" s="380"/>
      <c r="BI737" s="511"/>
      <c r="BJ737" s="380"/>
      <c r="BK737" s="380"/>
      <c r="BL737" s="380"/>
      <c r="BM737" s="380"/>
      <c r="BN737" s="380"/>
      <c r="BO737" s="380"/>
      <c r="BP737" s="380"/>
      <c r="BQ737" s="380"/>
      <c r="BR737" s="380"/>
    </row>
    <row r="738" spans="1:70" ht="12.75" customHeight="1" x14ac:dyDescent="0.25">
      <c r="A738" s="380"/>
      <c r="B738" s="380"/>
      <c r="C738" s="380"/>
      <c r="D738" s="380"/>
      <c r="E738" s="511"/>
      <c r="F738" s="511"/>
      <c r="G738" s="582"/>
      <c r="H738" s="511"/>
      <c r="I738" s="511"/>
      <c r="J738" s="582"/>
      <c r="K738" s="511"/>
      <c r="L738" s="511"/>
      <c r="M738" s="582"/>
      <c r="N738" s="582"/>
      <c r="O738" s="582"/>
      <c r="P738" s="582"/>
      <c r="Q738" s="511"/>
      <c r="R738" s="511"/>
      <c r="S738" s="511"/>
      <c r="T738" s="639"/>
      <c r="U738" s="511"/>
      <c r="V738" s="511"/>
      <c r="W738" s="511"/>
      <c r="X738" s="511"/>
      <c r="Y738" s="380"/>
      <c r="Z738" s="380"/>
      <c r="AA738" s="380"/>
      <c r="AB738" s="380"/>
      <c r="AC738" s="380"/>
      <c r="AD738" s="671"/>
      <c r="AE738" s="380"/>
      <c r="AF738" s="380"/>
      <c r="AG738" s="380"/>
      <c r="AH738" s="671"/>
      <c r="AI738" s="380"/>
      <c r="AJ738" s="583"/>
      <c r="AK738" s="583"/>
      <c r="AL738" s="511"/>
      <c r="AM738" s="584"/>
      <c r="AN738" s="584"/>
      <c r="AO738" s="584"/>
      <c r="AP738" s="671"/>
      <c r="AQ738" s="584"/>
      <c r="AR738" s="583"/>
      <c r="AS738" s="583"/>
      <c r="AT738" s="585"/>
      <c r="AU738" s="585"/>
      <c r="AV738" s="585"/>
      <c r="AW738" s="585"/>
      <c r="AX738" s="673"/>
      <c r="AY738" s="380"/>
      <c r="AZ738" s="380"/>
      <c r="BA738" s="380"/>
      <c r="BB738" s="380"/>
      <c r="BC738" s="380"/>
      <c r="BD738" s="380"/>
      <c r="BE738" s="380"/>
      <c r="BF738" s="380"/>
      <c r="BG738" s="380"/>
      <c r="BH738" s="380"/>
      <c r="BI738" s="511"/>
      <c r="BJ738" s="380"/>
      <c r="BK738" s="380"/>
      <c r="BL738" s="380"/>
      <c r="BM738" s="380"/>
      <c r="BN738" s="380"/>
      <c r="BO738" s="380"/>
      <c r="BP738" s="380"/>
      <c r="BQ738" s="380"/>
      <c r="BR738" s="380"/>
    </row>
    <row r="739" spans="1:70" ht="12.75" customHeight="1" x14ac:dyDescent="0.25">
      <c r="A739" s="380"/>
      <c r="B739" s="380"/>
      <c r="C739" s="380"/>
      <c r="D739" s="380"/>
      <c r="E739" s="511"/>
      <c r="F739" s="511"/>
      <c r="G739" s="582"/>
      <c r="H739" s="511"/>
      <c r="I739" s="511"/>
      <c r="J739" s="582"/>
      <c r="K739" s="511"/>
      <c r="L739" s="511"/>
      <c r="M739" s="582"/>
      <c r="N739" s="582"/>
      <c r="O739" s="582"/>
      <c r="P739" s="582"/>
      <c r="Q739" s="511"/>
      <c r="R739" s="511"/>
      <c r="S739" s="511"/>
      <c r="T739" s="639"/>
      <c r="U739" s="511"/>
      <c r="V739" s="511"/>
      <c r="W739" s="511"/>
      <c r="X739" s="511"/>
      <c r="Y739" s="380"/>
      <c r="Z739" s="380"/>
      <c r="AA739" s="380"/>
      <c r="AB739" s="380"/>
      <c r="AC739" s="380"/>
      <c r="AD739" s="671"/>
      <c r="AE739" s="380"/>
      <c r="AF739" s="380"/>
      <c r="AG739" s="380"/>
      <c r="AH739" s="671"/>
      <c r="AI739" s="380"/>
      <c r="AJ739" s="583"/>
      <c r="AK739" s="583"/>
      <c r="AL739" s="511"/>
      <c r="AM739" s="584"/>
      <c r="AN739" s="584"/>
      <c r="AO739" s="584"/>
      <c r="AP739" s="671"/>
      <c r="AQ739" s="584"/>
      <c r="AR739" s="583"/>
      <c r="AS739" s="583"/>
      <c r="AT739" s="585"/>
      <c r="AU739" s="585"/>
      <c r="AV739" s="585"/>
      <c r="AW739" s="585"/>
      <c r="AX739" s="673"/>
      <c r="AY739" s="380"/>
      <c r="AZ739" s="380"/>
      <c r="BA739" s="380"/>
      <c r="BB739" s="380"/>
      <c r="BC739" s="380"/>
      <c r="BD739" s="380"/>
      <c r="BE739" s="380"/>
      <c r="BF739" s="380"/>
      <c r="BG739" s="380"/>
      <c r="BH739" s="380"/>
      <c r="BI739" s="511"/>
      <c r="BJ739" s="380"/>
      <c r="BK739" s="380"/>
      <c r="BL739" s="380"/>
      <c r="BM739" s="380"/>
      <c r="BN739" s="380"/>
      <c r="BO739" s="380"/>
      <c r="BP739" s="380"/>
      <c r="BQ739" s="380"/>
      <c r="BR739" s="380"/>
    </row>
    <row r="740" spans="1:70" ht="12.75" customHeight="1" x14ac:dyDescent="0.25">
      <c r="A740" s="380"/>
      <c r="B740" s="380"/>
      <c r="C740" s="380"/>
      <c r="D740" s="380"/>
      <c r="E740" s="511"/>
      <c r="F740" s="511"/>
      <c r="G740" s="582"/>
      <c r="H740" s="511"/>
      <c r="I740" s="511"/>
      <c r="J740" s="582"/>
      <c r="K740" s="511"/>
      <c r="L740" s="511"/>
      <c r="M740" s="582"/>
      <c r="N740" s="582"/>
      <c r="O740" s="582"/>
      <c r="P740" s="582"/>
      <c r="Q740" s="511"/>
      <c r="R740" s="511"/>
      <c r="S740" s="511"/>
      <c r="T740" s="639"/>
      <c r="U740" s="511"/>
      <c r="V740" s="511"/>
      <c r="W740" s="511"/>
      <c r="X740" s="511"/>
      <c r="Y740" s="380"/>
      <c r="Z740" s="380"/>
      <c r="AA740" s="380"/>
      <c r="AB740" s="380"/>
      <c r="AC740" s="380"/>
      <c r="AD740" s="671"/>
      <c r="AE740" s="380"/>
      <c r="AF740" s="380"/>
      <c r="AG740" s="380"/>
      <c r="AH740" s="671"/>
      <c r="AI740" s="380"/>
      <c r="AJ740" s="583"/>
      <c r="AK740" s="583"/>
      <c r="AL740" s="511"/>
      <c r="AM740" s="584"/>
      <c r="AN740" s="584"/>
      <c r="AO740" s="584"/>
      <c r="AP740" s="671"/>
      <c r="AQ740" s="584"/>
      <c r="AR740" s="583"/>
      <c r="AS740" s="583"/>
      <c r="AT740" s="585"/>
      <c r="AU740" s="585"/>
      <c r="AV740" s="585"/>
      <c r="AW740" s="585"/>
      <c r="AX740" s="673"/>
      <c r="AY740" s="380"/>
      <c r="AZ740" s="380"/>
      <c r="BA740" s="380"/>
      <c r="BB740" s="380"/>
      <c r="BC740" s="380"/>
      <c r="BD740" s="380"/>
      <c r="BE740" s="380"/>
      <c r="BF740" s="380"/>
      <c r="BG740" s="380"/>
      <c r="BH740" s="380"/>
      <c r="BI740" s="511"/>
      <c r="BJ740" s="380"/>
      <c r="BK740" s="380"/>
      <c r="BL740" s="380"/>
      <c r="BM740" s="380"/>
      <c r="BN740" s="380"/>
      <c r="BO740" s="380"/>
      <c r="BP740" s="380"/>
      <c r="BQ740" s="380"/>
      <c r="BR740" s="380"/>
    </row>
    <row r="741" spans="1:70" ht="12.75" customHeight="1" x14ac:dyDescent="0.25">
      <c r="A741" s="380"/>
      <c r="B741" s="380"/>
      <c r="C741" s="380"/>
      <c r="D741" s="380"/>
      <c r="E741" s="511"/>
      <c r="F741" s="511"/>
      <c r="G741" s="582"/>
      <c r="H741" s="511"/>
      <c r="I741" s="511"/>
      <c r="J741" s="582"/>
      <c r="K741" s="511"/>
      <c r="L741" s="511"/>
      <c r="M741" s="582"/>
      <c r="N741" s="582"/>
      <c r="O741" s="582"/>
      <c r="P741" s="582"/>
      <c r="Q741" s="511"/>
      <c r="R741" s="511"/>
      <c r="S741" s="511"/>
      <c r="T741" s="639"/>
      <c r="U741" s="511"/>
      <c r="V741" s="511"/>
      <c r="W741" s="511"/>
      <c r="X741" s="511"/>
      <c r="Y741" s="380"/>
      <c r="Z741" s="380"/>
      <c r="AA741" s="380"/>
      <c r="AB741" s="380"/>
      <c r="AC741" s="380"/>
      <c r="AD741" s="671"/>
      <c r="AE741" s="380"/>
      <c r="AF741" s="380"/>
      <c r="AG741" s="380"/>
      <c r="AH741" s="671"/>
      <c r="AI741" s="380"/>
      <c r="AJ741" s="583"/>
      <c r="AK741" s="583"/>
      <c r="AL741" s="511"/>
      <c r="AM741" s="584"/>
      <c r="AN741" s="584"/>
      <c r="AO741" s="584"/>
      <c r="AP741" s="671"/>
      <c r="AQ741" s="584"/>
      <c r="AR741" s="583"/>
      <c r="AS741" s="583"/>
      <c r="AT741" s="585"/>
      <c r="AU741" s="585"/>
      <c r="AV741" s="585"/>
      <c r="AW741" s="585"/>
      <c r="AX741" s="673"/>
      <c r="AY741" s="380"/>
      <c r="AZ741" s="380"/>
      <c r="BA741" s="380"/>
      <c r="BB741" s="380"/>
      <c r="BC741" s="380"/>
      <c r="BD741" s="380"/>
      <c r="BE741" s="380"/>
      <c r="BF741" s="380"/>
      <c r="BG741" s="380"/>
      <c r="BH741" s="380"/>
      <c r="BI741" s="511"/>
      <c r="BJ741" s="380"/>
      <c r="BK741" s="380"/>
      <c r="BL741" s="380"/>
      <c r="BM741" s="380"/>
      <c r="BN741" s="380"/>
      <c r="BO741" s="380"/>
      <c r="BP741" s="380"/>
      <c r="BQ741" s="380"/>
      <c r="BR741" s="380"/>
    </row>
    <row r="742" spans="1:70" ht="12.75" customHeight="1" x14ac:dyDescent="0.25">
      <c r="A742" s="380"/>
      <c r="B742" s="380"/>
      <c r="C742" s="380"/>
      <c r="D742" s="380"/>
      <c r="E742" s="511"/>
      <c r="F742" s="511"/>
      <c r="G742" s="582"/>
      <c r="H742" s="511"/>
      <c r="I742" s="511"/>
      <c r="J742" s="582"/>
      <c r="K742" s="511"/>
      <c r="L742" s="511"/>
      <c r="M742" s="582"/>
      <c r="N742" s="582"/>
      <c r="O742" s="582"/>
      <c r="P742" s="582"/>
      <c r="Q742" s="511"/>
      <c r="R742" s="511"/>
      <c r="S742" s="511"/>
      <c r="T742" s="639"/>
      <c r="U742" s="511"/>
      <c r="V742" s="511"/>
      <c r="W742" s="511"/>
      <c r="X742" s="511"/>
      <c r="Y742" s="380"/>
      <c r="Z742" s="380"/>
      <c r="AA742" s="380"/>
      <c r="AB742" s="380"/>
      <c r="AC742" s="380"/>
      <c r="AD742" s="671"/>
      <c r="AE742" s="380"/>
      <c r="AF742" s="380"/>
      <c r="AG742" s="380"/>
      <c r="AH742" s="671"/>
      <c r="AI742" s="380"/>
      <c r="AJ742" s="583"/>
      <c r="AK742" s="583"/>
      <c r="AL742" s="511"/>
      <c r="AM742" s="584"/>
      <c r="AN742" s="584"/>
      <c r="AO742" s="584"/>
      <c r="AP742" s="671"/>
      <c r="AQ742" s="584"/>
      <c r="AR742" s="583"/>
      <c r="AS742" s="583"/>
      <c r="AT742" s="585"/>
      <c r="AU742" s="585"/>
      <c r="AV742" s="585"/>
      <c r="AW742" s="585"/>
      <c r="AX742" s="673"/>
      <c r="AY742" s="380"/>
      <c r="AZ742" s="380"/>
      <c r="BA742" s="380"/>
      <c r="BB742" s="380"/>
      <c r="BC742" s="380"/>
      <c r="BD742" s="380"/>
      <c r="BE742" s="380"/>
      <c r="BF742" s="380"/>
      <c r="BG742" s="380"/>
      <c r="BH742" s="380"/>
      <c r="BI742" s="511"/>
      <c r="BJ742" s="380"/>
      <c r="BK742" s="380"/>
      <c r="BL742" s="380"/>
      <c r="BM742" s="380"/>
      <c r="BN742" s="380"/>
      <c r="BO742" s="380"/>
      <c r="BP742" s="380"/>
      <c r="BQ742" s="380"/>
      <c r="BR742" s="380"/>
    </row>
    <row r="743" spans="1:70" ht="12.75" customHeight="1" x14ac:dyDescent="0.25">
      <c r="A743" s="380"/>
      <c r="B743" s="380"/>
      <c r="C743" s="380"/>
      <c r="D743" s="380"/>
      <c r="E743" s="511"/>
      <c r="F743" s="511"/>
      <c r="G743" s="582"/>
      <c r="H743" s="511"/>
      <c r="I743" s="511"/>
      <c r="J743" s="582"/>
      <c r="K743" s="511"/>
      <c r="L743" s="511"/>
      <c r="M743" s="582"/>
      <c r="N743" s="582"/>
      <c r="O743" s="582"/>
      <c r="P743" s="582"/>
      <c r="Q743" s="511"/>
      <c r="R743" s="511"/>
      <c r="S743" s="511"/>
      <c r="T743" s="639"/>
      <c r="U743" s="511"/>
      <c r="V743" s="511"/>
      <c r="W743" s="511"/>
      <c r="X743" s="511"/>
      <c r="Y743" s="380"/>
      <c r="Z743" s="380"/>
      <c r="AA743" s="380"/>
      <c r="AB743" s="380"/>
      <c r="AC743" s="380"/>
      <c r="AD743" s="671"/>
      <c r="AE743" s="380"/>
      <c r="AF743" s="380"/>
      <c r="AG743" s="380"/>
      <c r="AH743" s="671"/>
      <c r="AI743" s="380"/>
      <c r="AJ743" s="583"/>
      <c r="AK743" s="583"/>
      <c r="AL743" s="511"/>
      <c r="AM743" s="584"/>
      <c r="AN743" s="584"/>
      <c r="AO743" s="584"/>
      <c r="AP743" s="671"/>
      <c r="AQ743" s="584"/>
      <c r="AR743" s="583"/>
      <c r="AS743" s="583"/>
      <c r="AT743" s="585"/>
      <c r="AU743" s="585"/>
      <c r="AV743" s="585"/>
      <c r="AW743" s="585"/>
      <c r="AX743" s="673"/>
      <c r="AY743" s="380"/>
      <c r="AZ743" s="380"/>
      <c r="BA743" s="380"/>
      <c r="BB743" s="380"/>
      <c r="BC743" s="380"/>
      <c r="BD743" s="380"/>
      <c r="BE743" s="380"/>
      <c r="BF743" s="380"/>
      <c r="BG743" s="380"/>
      <c r="BH743" s="380"/>
      <c r="BI743" s="511"/>
      <c r="BJ743" s="380"/>
      <c r="BK743" s="380"/>
      <c r="BL743" s="380"/>
      <c r="BM743" s="380"/>
      <c r="BN743" s="380"/>
      <c r="BO743" s="380"/>
      <c r="BP743" s="380"/>
      <c r="BQ743" s="380"/>
      <c r="BR743" s="380"/>
    </row>
    <row r="744" spans="1:70" ht="12.75" customHeight="1" x14ac:dyDescent="0.25">
      <c r="A744" s="380"/>
      <c r="B744" s="380"/>
      <c r="C744" s="380"/>
      <c r="D744" s="380"/>
      <c r="E744" s="511"/>
      <c r="F744" s="511"/>
      <c r="G744" s="582"/>
      <c r="H744" s="511"/>
      <c r="I744" s="511"/>
      <c r="J744" s="582"/>
      <c r="K744" s="511"/>
      <c r="L744" s="511"/>
      <c r="M744" s="582"/>
      <c r="N744" s="582"/>
      <c r="O744" s="582"/>
      <c r="P744" s="582"/>
      <c r="Q744" s="511"/>
      <c r="R744" s="511"/>
      <c r="S744" s="511"/>
      <c r="T744" s="639"/>
      <c r="U744" s="511"/>
      <c r="V744" s="511"/>
      <c r="W744" s="511"/>
      <c r="X744" s="511"/>
      <c r="Y744" s="380"/>
      <c r="Z744" s="380"/>
      <c r="AA744" s="380"/>
      <c r="AB744" s="380"/>
      <c r="AC744" s="380"/>
      <c r="AD744" s="671"/>
      <c r="AE744" s="380"/>
      <c r="AF744" s="380"/>
      <c r="AG744" s="380"/>
      <c r="AH744" s="671"/>
      <c r="AI744" s="380"/>
      <c r="AJ744" s="583"/>
      <c r="AK744" s="583"/>
      <c r="AL744" s="511"/>
      <c r="AM744" s="584"/>
      <c r="AN744" s="584"/>
      <c r="AO744" s="584"/>
      <c r="AP744" s="671"/>
      <c r="AQ744" s="584"/>
      <c r="AR744" s="583"/>
      <c r="AS744" s="583"/>
      <c r="AT744" s="585"/>
      <c r="AU744" s="585"/>
      <c r="AV744" s="585"/>
      <c r="AW744" s="585"/>
      <c r="AX744" s="673"/>
      <c r="AY744" s="380"/>
      <c r="AZ744" s="380"/>
      <c r="BA744" s="380"/>
      <c r="BB744" s="380"/>
      <c r="BC744" s="380"/>
      <c r="BD744" s="380"/>
      <c r="BE744" s="380"/>
      <c r="BF744" s="380"/>
      <c r="BG744" s="380"/>
      <c r="BH744" s="380"/>
      <c r="BI744" s="511"/>
      <c r="BJ744" s="380"/>
      <c r="BK744" s="380"/>
      <c r="BL744" s="380"/>
      <c r="BM744" s="380"/>
      <c r="BN744" s="380"/>
      <c r="BO744" s="380"/>
      <c r="BP744" s="380"/>
      <c r="BQ744" s="380"/>
      <c r="BR744" s="380"/>
    </row>
    <row r="745" spans="1:70" ht="12.75" customHeight="1" x14ac:dyDescent="0.25">
      <c r="A745" s="380"/>
      <c r="B745" s="380"/>
      <c r="C745" s="380"/>
      <c r="D745" s="380"/>
      <c r="E745" s="511"/>
      <c r="F745" s="511"/>
      <c r="G745" s="582"/>
      <c r="H745" s="511"/>
      <c r="I745" s="511"/>
      <c r="J745" s="582"/>
      <c r="K745" s="511"/>
      <c r="L745" s="511"/>
      <c r="M745" s="582"/>
      <c r="N745" s="582"/>
      <c r="O745" s="582"/>
      <c r="P745" s="582"/>
      <c r="Q745" s="511"/>
      <c r="R745" s="511"/>
      <c r="S745" s="511"/>
      <c r="T745" s="639"/>
      <c r="U745" s="511"/>
      <c r="V745" s="511"/>
      <c r="W745" s="511"/>
      <c r="X745" s="511"/>
      <c r="Y745" s="380"/>
      <c r="Z745" s="380"/>
      <c r="AA745" s="380"/>
      <c r="AB745" s="380"/>
      <c r="AC745" s="380"/>
      <c r="AD745" s="671"/>
      <c r="AE745" s="380"/>
      <c r="AF745" s="380"/>
      <c r="AG745" s="380"/>
      <c r="AH745" s="671"/>
      <c r="AI745" s="380"/>
      <c r="AJ745" s="583"/>
      <c r="AK745" s="583"/>
      <c r="AL745" s="511"/>
      <c r="AM745" s="584"/>
      <c r="AN745" s="584"/>
      <c r="AO745" s="584"/>
      <c r="AP745" s="671"/>
      <c r="AQ745" s="584"/>
      <c r="AR745" s="583"/>
      <c r="AS745" s="583"/>
      <c r="AT745" s="585"/>
      <c r="AU745" s="585"/>
      <c r="AV745" s="585"/>
      <c r="AW745" s="585"/>
      <c r="AX745" s="673"/>
      <c r="AY745" s="380"/>
      <c r="AZ745" s="380"/>
      <c r="BA745" s="380"/>
      <c r="BB745" s="380"/>
      <c r="BC745" s="380"/>
      <c r="BD745" s="380"/>
      <c r="BE745" s="380"/>
      <c r="BF745" s="380"/>
      <c r="BG745" s="380"/>
      <c r="BH745" s="380"/>
      <c r="BI745" s="511"/>
      <c r="BJ745" s="380"/>
      <c r="BK745" s="380"/>
      <c r="BL745" s="380"/>
      <c r="BM745" s="380"/>
      <c r="BN745" s="380"/>
      <c r="BO745" s="380"/>
      <c r="BP745" s="380"/>
      <c r="BQ745" s="380"/>
      <c r="BR745" s="380"/>
    </row>
    <row r="746" spans="1:70" ht="12.75" customHeight="1" x14ac:dyDescent="0.25">
      <c r="A746" s="380"/>
      <c r="B746" s="380"/>
      <c r="C746" s="380"/>
      <c r="D746" s="380"/>
      <c r="E746" s="511"/>
      <c r="F746" s="511"/>
      <c r="G746" s="582"/>
      <c r="H746" s="511"/>
      <c r="I746" s="511"/>
      <c r="J746" s="582"/>
      <c r="K746" s="511"/>
      <c r="L746" s="511"/>
      <c r="M746" s="582"/>
      <c r="N746" s="582"/>
      <c r="O746" s="582"/>
      <c r="P746" s="582"/>
      <c r="Q746" s="511"/>
      <c r="R746" s="511"/>
      <c r="S746" s="511"/>
      <c r="T746" s="639"/>
      <c r="U746" s="511"/>
      <c r="V746" s="511"/>
      <c r="W746" s="511"/>
      <c r="X746" s="511"/>
      <c r="Y746" s="380"/>
      <c r="Z746" s="380"/>
      <c r="AA746" s="380"/>
      <c r="AB746" s="380"/>
      <c r="AC746" s="380"/>
      <c r="AD746" s="671"/>
      <c r="AE746" s="380"/>
      <c r="AF746" s="380"/>
      <c r="AG746" s="380"/>
      <c r="AH746" s="671"/>
      <c r="AI746" s="380"/>
      <c r="AJ746" s="583"/>
      <c r="AK746" s="583"/>
      <c r="AL746" s="511"/>
      <c r="AM746" s="584"/>
      <c r="AN746" s="584"/>
      <c r="AO746" s="584"/>
      <c r="AP746" s="671"/>
      <c r="AQ746" s="584"/>
      <c r="AR746" s="583"/>
      <c r="AS746" s="583"/>
      <c r="AT746" s="585"/>
      <c r="AU746" s="585"/>
      <c r="AV746" s="585"/>
      <c r="AW746" s="585"/>
      <c r="AX746" s="673"/>
      <c r="AY746" s="380"/>
      <c r="AZ746" s="380"/>
      <c r="BA746" s="380"/>
      <c r="BB746" s="380"/>
      <c r="BC746" s="380"/>
      <c r="BD746" s="380"/>
      <c r="BE746" s="380"/>
      <c r="BF746" s="380"/>
      <c r="BG746" s="380"/>
      <c r="BH746" s="380"/>
      <c r="BI746" s="511"/>
      <c r="BJ746" s="380"/>
      <c r="BK746" s="380"/>
      <c r="BL746" s="380"/>
      <c r="BM746" s="380"/>
      <c r="BN746" s="380"/>
      <c r="BO746" s="380"/>
      <c r="BP746" s="380"/>
      <c r="BQ746" s="380"/>
      <c r="BR746" s="380"/>
    </row>
    <row r="747" spans="1:70" ht="12.75" customHeight="1" x14ac:dyDescent="0.25">
      <c r="A747" s="380"/>
      <c r="B747" s="380"/>
      <c r="C747" s="380"/>
      <c r="D747" s="380"/>
      <c r="E747" s="511"/>
      <c r="F747" s="511"/>
      <c r="G747" s="582"/>
      <c r="H747" s="511"/>
      <c r="I747" s="511"/>
      <c r="J747" s="582"/>
      <c r="K747" s="511"/>
      <c r="L747" s="511"/>
      <c r="M747" s="582"/>
      <c r="N747" s="582"/>
      <c r="O747" s="582"/>
      <c r="P747" s="582"/>
      <c r="Q747" s="511"/>
      <c r="R747" s="511"/>
      <c r="S747" s="511"/>
      <c r="T747" s="639"/>
      <c r="U747" s="511"/>
      <c r="V747" s="511"/>
      <c r="W747" s="511"/>
      <c r="X747" s="511"/>
      <c r="Y747" s="380"/>
      <c r="Z747" s="380"/>
      <c r="AA747" s="380"/>
      <c r="AB747" s="380"/>
      <c r="AC747" s="380"/>
      <c r="AD747" s="671"/>
      <c r="AE747" s="380"/>
      <c r="AF747" s="380"/>
      <c r="AG747" s="380"/>
      <c r="AH747" s="671"/>
      <c r="AI747" s="380"/>
      <c r="AJ747" s="583"/>
      <c r="AK747" s="583"/>
      <c r="AL747" s="511"/>
      <c r="AM747" s="584"/>
      <c r="AN747" s="584"/>
      <c r="AO747" s="584"/>
      <c r="AP747" s="671"/>
      <c r="AQ747" s="584"/>
      <c r="AR747" s="583"/>
      <c r="AS747" s="583"/>
      <c r="AT747" s="585"/>
      <c r="AU747" s="585"/>
      <c r="AV747" s="585"/>
      <c r="AW747" s="585"/>
      <c r="AX747" s="673"/>
      <c r="AY747" s="380"/>
      <c r="AZ747" s="380"/>
      <c r="BA747" s="380"/>
      <c r="BB747" s="380"/>
      <c r="BC747" s="380"/>
      <c r="BD747" s="380"/>
      <c r="BE747" s="380"/>
      <c r="BF747" s="380"/>
      <c r="BG747" s="380"/>
      <c r="BH747" s="380"/>
      <c r="BI747" s="511"/>
      <c r="BJ747" s="380"/>
      <c r="BK747" s="380"/>
      <c r="BL747" s="380"/>
      <c r="BM747" s="380"/>
      <c r="BN747" s="380"/>
      <c r="BO747" s="380"/>
      <c r="BP747" s="380"/>
      <c r="BQ747" s="380"/>
      <c r="BR747" s="380"/>
    </row>
    <row r="748" spans="1:70" ht="12.75" customHeight="1" x14ac:dyDescent="0.25">
      <c r="A748" s="380"/>
      <c r="B748" s="380"/>
      <c r="C748" s="380"/>
      <c r="D748" s="380"/>
      <c r="E748" s="511"/>
      <c r="F748" s="511"/>
      <c r="G748" s="582"/>
      <c r="H748" s="511"/>
      <c r="I748" s="511"/>
      <c r="J748" s="582"/>
      <c r="K748" s="511"/>
      <c r="L748" s="511"/>
      <c r="M748" s="582"/>
      <c r="N748" s="582"/>
      <c r="O748" s="582"/>
      <c r="P748" s="582"/>
      <c r="Q748" s="511"/>
      <c r="R748" s="511"/>
      <c r="S748" s="511"/>
      <c r="T748" s="639"/>
      <c r="U748" s="511"/>
      <c r="V748" s="511"/>
      <c r="W748" s="511"/>
      <c r="X748" s="511"/>
      <c r="Y748" s="380"/>
      <c r="Z748" s="380"/>
      <c r="AA748" s="380"/>
      <c r="AB748" s="380"/>
      <c r="AC748" s="380"/>
      <c r="AD748" s="671"/>
      <c r="AE748" s="380"/>
      <c r="AF748" s="380"/>
      <c r="AG748" s="380"/>
      <c r="AH748" s="671"/>
      <c r="AI748" s="380"/>
      <c r="AJ748" s="583"/>
      <c r="AK748" s="583"/>
      <c r="AL748" s="511"/>
      <c r="AM748" s="584"/>
      <c r="AN748" s="584"/>
      <c r="AO748" s="584"/>
      <c r="AP748" s="671"/>
      <c r="AQ748" s="584"/>
      <c r="AR748" s="583"/>
      <c r="AS748" s="583"/>
      <c r="AT748" s="585"/>
      <c r="AU748" s="585"/>
      <c r="AV748" s="585"/>
      <c r="AW748" s="585"/>
      <c r="AX748" s="673"/>
      <c r="AY748" s="380"/>
      <c r="AZ748" s="380"/>
      <c r="BA748" s="380"/>
      <c r="BB748" s="380"/>
      <c r="BC748" s="380"/>
      <c r="BD748" s="380"/>
      <c r="BE748" s="380"/>
      <c r="BF748" s="380"/>
      <c r="BG748" s="380"/>
      <c r="BH748" s="380"/>
      <c r="BI748" s="511"/>
      <c r="BJ748" s="380"/>
      <c r="BK748" s="380"/>
      <c r="BL748" s="380"/>
      <c r="BM748" s="380"/>
      <c r="BN748" s="380"/>
      <c r="BO748" s="380"/>
      <c r="BP748" s="380"/>
      <c r="BQ748" s="380"/>
      <c r="BR748" s="380"/>
    </row>
    <row r="749" spans="1:70" ht="12.75" customHeight="1" x14ac:dyDescent="0.25">
      <c r="A749" s="380"/>
      <c r="B749" s="380"/>
      <c r="C749" s="380"/>
      <c r="D749" s="380"/>
      <c r="E749" s="511"/>
      <c r="F749" s="511"/>
      <c r="G749" s="582"/>
      <c r="H749" s="511"/>
      <c r="I749" s="511"/>
      <c r="J749" s="582"/>
      <c r="K749" s="511"/>
      <c r="L749" s="511"/>
      <c r="M749" s="582"/>
      <c r="N749" s="582"/>
      <c r="O749" s="582"/>
      <c r="P749" s="582"/>
      <c r="Q749" s="511"/>
      <c r="R749" s="511"/>
      <c r="S749" s="511"/>
      <c r="T749" s="639"/>
      <c r="U749" s="511"/>
      <c r="V749" s="511"/>
      <c r="W749" s="511"/>
      <c r="X749" s="511"/>
      <c r="Y749" s="380"/>
      <c r="Z749" s="380"/>
      <c r="AA749" s="380"/>
      <c r="AB749" s="380"/>
      <c r="AC749" s="380"/>
      <c r="AD749" s="671"/>
      <c r="AE749" s="380"/>
      <c r="AF749" s="380"/>
      <c r="AG749" s="380"/>
      <c r="AH749" s="671"/>
      <c r="AI749" s="380"/>
      <c r="AJ749" s="583"/>
      <c r="AK749" s="583"/>
      <c r="AL749" s="511"/>
      <c r="AM749" s="584"/>
      <c r="AN749" s="584"/>
      <c r="AO749" s="584"/>
      <c r="AP749" s="671"/>
      <c r="AQ749" s="584"/>
      <c r="AR749" s="583"/>
      <c r="AS749" s="583"/>
      <c r="AT749" s="585"/>
      <c r="AU749" s="585"/>
      <c r="AV749" s="585"/>
      <c r="AW749" s="585"/>
      <c r="AX749" s="673"/>
      <c r="AY749" s="380"/>
      <c r="AZ749" s="380"/>
      <c r="BA749" s="380"/>
      <c r="BB749" s="380"/>
      <c r="BC749" s="380"/>
      <c r="BD749" s="380"/>
      <c r="BE749" s="380"/>
      <c r="BF749" s="380"/>
      <c r="BG749" s="380"/>
      <c r="BH749" s="380"/>
      <c r="BI749" s="511"/>
      <c r="BJ749" s="380"/>
      <c r="BK749" s="380"/>
      <c r="BL749" s="380"/>
      <c r="BM749" s="380"/>
      <c r="BN749" s="380"/>
      <c r="BO749" s="380"/>
      <c r="BP749" s="380"/>
      <c r="BQ749" s="380"/>
      <c r="BR749" s="380"/>
    </row>
    <row r="750" spans="1:70" ht="12.75" customHeight="1" x14ac:dyDescent="0.25">
      <c r="A750" s="380"/>
      <c r="B750" s="380"/>
      <c r="C750" s="380"/>
      <c r="D750" s="380"/>
      <c r="E750" s="511"/>
      <c r="F750" s="511"/>
      <c r="G750" s="582"/>
      <c r="H750" s="511"/>
      <c r="I750" s="511"/>
      <c r="J750" s="582"/>
      <c r="K750" s="511"/>
      <c r="L750" s="511"/>
      <c r="M750" s="582"/>
      <c r="N750" s="582"/>
      <c r="O750" s="582"/>
      <c r="P750" s="582"/>
      <c r="Q750" s="511"/>
      <c r="R750" s="511"/>
      <c r="S750" s="511"/>
      <c r="T750" s="639"/>
      <c r="U750" s="511"/>
      <c r="V750" s="511"/>
      <c r="W750" s="511"/>
      <c r="X750" s="511"/>
      <c r="Y750" s="380"/>
      <c r="Z750" s="380"/>
      <c r="AA750" s="380"/>
      <c r="AB750" s="380"/>
      <c r="AC750" s="380"/>
      <c r="AD750" s="671"/>
      <c r="AE750" s="380"/>
      <c r="AF750" s="380"/>
      <c r="AG750" s="380"/>
      <c r="AH750" s="671"/>
      <c r="AI750" s="380"/>
      <c r="AJ750" s="583"/>
      <c r="AK750" s="583"/>
      <c r="AL750" s="511"/>
      <c r="AM750" s="584"/>
      <c r="AN750" s="584"/>
      <c r="AO750" s="584"/>
      <c r="AP750" s="671"/>
      <c r="AQ750" s="584"/>
      <c r="AR750" s="583"/>
      <c r="AS750" s="583"/>
      <c r="AT750" s="585"/>
      <c r="AU750" s="585"/>
      <c r="AV750" s="585"/>
      <c r="AW750" s="585"/>
      <c r="AX750" s="673"/>
      <c r="AY750" s="380"/>
      <c r="AZ750" s="380"/>
      <c r="BA750" s="380"/>
      <c r="BB750" s="380"/>
      <c r="BC750" s="380"/>
      <c r="BD750" s="380"/>
      <c r="BE750" s="380"/>
      <c r="BF750" s="380"/>
      <c r="BG750" s="380"/>
      <c r="BH750" s="380"/>
      <c r="BI750" s="511"/>
      <c r="BJ750" s="380"/>
      <c r="BK750" s="380"/>
      <c r="BL750" s="380"/>
      <c r="BM750" s="380"/>
      <c r="BN750" s="380"/>
      <c r="BO750" s="380"/>
      <c r="BP750" s="380"/>
      <c r="BQ750" s="380"/>
      <c r="BR750" s="380"/>
    </row>
    <row r="751" spans="1:70" ht="12.75" customHeight="1" x14ac:dyDescent="0.25">
      <c r="A751" s="380"/>
      <c r="B751" s="380"/>
      <c r="C751" s="380"/>
      <c r="D751" s="380"/>
      <c r="E751" s="511"/>
      <c r="F751" s="511"/>
      <c r="G751" s="582"/>
      <c r="H751" s="511"/>
      <c r="I751" s="511"/>
      <c r="J751" s="582"/>
      <c r="K751" s="511"/>
      <c r="L751" s="511"/>
      <c r="M751" s="582"/>
      <c r="N751" s="582"/>
      <c r="O751" s="582"/>
      <c r="P751" s="582"/>
      <c r="Q751" s="511"/>
      <c r="R751" s="511"/>
      <c r="S751" s="511"/>
      <c r="T751" s="639"/>
      <c r="U751" s="511"/>
      <c r="V751" s="511"/>
      <c r="W751" s="511"/>
      <c r="X751" s="511"/>
      <c r="Y751" s="380"/>
      <c r="Z751" s="380"/>
      <c r="AA751" s="380"/>
      <c r="AB751" s="380"/>
      <c r="AC751" s="380"/>
      <c r="AD751" s="671"/>
      <c r="AE751" s="380"/>
      <c r="AF751" s="380"/>
      <c r="AG751" s="380"/>
      <c r="AH751" s="671"/>
      <c r="AI751" s="380"/>
      <c r="AJ751" s="583"/>
      <c r="AK751" s="583"/>
      <c r="AL751" s="511"/>
      <c r="AM751" s="584"/>
      <c r="AN751" s="584"/>
      <c r="AO751" s="584"/>
      <c r="AP751" s="671"/>
      <c r="AQ751" s="584"/>
      <c r="AR751" s="583"/>
      <c r="AS751" s="583"/>
      <c r="AT751" s="585"/>
      <c r="AU751" s="585"/>
      <c r="AV751" s="585"/>
      <c r="AW751" s="585"/>
      <c r="AX751" s="673"/>
      <c r="AY751" s="380"/>
      <c r="AZ751" s="380"/>
      <c r="BA751" s="380"/>
      <c r="BB751" s="380"/>
      <c r="BC751" s="380"/>
      <c r="BD751" s="380"/>
      <c r="BE751" s="380"/>
      <c r="BF751" s="380"/>
      <c r="BG751" s="380"/>
      <c r="BH751" s="380"/>
      <c r="BI751" s="511"/>
      <c r="BJ751" s="380"/>
      <c r="BK751" s="380"/>
      <c r="BL751" s="380"/>
      <c r="BM751" s="380"/>
      <c r="BN751" s="380"/>
      <c r="BO751" s="380"/>
      <c r="BP751" s="380"/>
      <c r="BQ751" s="380"/>
      <c r="BR751" s="380"/>
    </row>
    <row r="752" spans="1:70" ht="12.75" customHeight="1" x14ac:dyDescent="0.25">
      <c r="A752" s="380"/>
      <c r="B752" s="380"/>
      <c r="C752" s="380"/>
      <c r="D752" s="380"/>
      <c r="E752" s="511"/>
      <c r="F752" s="511"/>
      <c r="G752" s="582"/>
      <c r="H752" s="511"/>
      <c r="I752" s="511"/>
      <c r="J752" s="582"/>
      <c r="K752" s="511"/>
      <c r="L752" s="511"/>
      <c r="M752" s="582"/>
      <c r="N752" s="582"/>
      <c r="O752" s="582"/>
      <c r="P752" s="582"/>
      <c r="Q752" s="511"/>
      <c r="R752" s="511"/>
      <c r="S752" s="511"/>
      <c r="T752" s="639"/>
      <c r="U752" s="511"/>
      <c r="V752" s="511"/>
      <c r="W752" s="511"/>
      <c r="X752" s="511"/>
      <c r="Y752" s="380"/>
      <c r="Z752" s="380"/>
      <c r="AA752" s="380"/>
      <c r="AB752" s="380"/>
      <c r="AC752" s="380"/>
      <c r="AD752" s="671"/>
      <c r="AE752" s="380"/>
      <c r="AF752" s="380"/>
      <c r="AG752" s="380"/>
      <c r="AH752" s="671"/>
      <c r="AI752" s="380"/>
      <c r="AJ752" s="583"/>
      <c r="AK752" s="583"/>
      <c r="AL752" s="511"/>
      <c r="AM752" s="584"/>
      <c r="AN752" s="584"/>
      <c r="AO752" s="584"/>
      <c r="AP752" s="671"/>
      <c r="AQ752" s="584"/>
      <c r="AR752" s="583"/>
      <c r="AS752" s="583"/>
      <c r="AT752" s="585"/>
      <c r="AU752" s="585"/>
      <c r="AV752" s="585"/>
      <c r="AW752" s="585"/>
      <c r="AX752" s="673"/>
      <c r="AY752" s="380"/>
      <c r="AZ752" s="380"/>
      <c r="BA752" s="380"/>
      <c r="BB752" s="380"/>
      <c r="BC752" s="380"/>
      <c r="BD752" s="380"/>
      <c r="BE752" s="380"/>
      <c r="BF752" s="380"/>
      <c r="BG752" s="380"/>
      <c r="BH752" s="380"/>
      <c r="BI752" s="511"/>
      <c r="BJ752" s="380"/>
      <c r="BK752" s="380"/>
      <c r="BL752" s="380"/>
      <c r="BM752" s="380"/>
      <c r="BN752" s="380"/>
      <c r="BO752" s="380"/>
      <c r="BP752" s="380"/>
      <c r="BQ752" s="380"/>
      <c r="BR752" s="380"/>
    </row>
    <row r="753" spans="1:70" ht="12.75" customHeight="1" x14ac:dyDescent="0.25">
      <c r="A753" s="380"/>
      <c r="B753" s="380"/>
      <c r="C753" s="380"/>
      <c r="D753" s="380"/>
      <c r="E753" s="511"/>
      <c r="F753" s="511"/>
      <c r="G753" s="582"/>
      <c r="H753" s="511"/>
      <c r="I753" s="511"/>
      <c r="J753" s="582"/>
      <c r="K753" s="511"/>
      <c r="L753" s="511"/>
      <c r="M753" s="582"/>
      <c r="N753" s="582"/>
      <c r="O753" s="582"/>
      <c r="P753" s="582"/>
      <c r="Q753" s="511"/>
      <c r="R753" s="511"/>
      <c r="S753" s="511"/>
      <c r="T753" s="639"/>
      <c r="U753" s="511"/>
      <c r="V753" s="511"/>
      <c r="W753" s="511"/>
      <c r="X753" s="511"/>
      <c r="Y753" s="380"/>
      <c r="Z753" s="380"/>
      <c r="AA753" s="380"/>
      <c r="AB753" s="380"/>
      <c r="AC753" s="380"/>
      <c r="AD753" s="671"/>
      <c r="AE753" s="380"/>
      <c r="AF753" s="380"/>
      <c r="AG753" s="380"/>
      <c r="AH753" s="671"/>
      <c r="AI753" s="380"/>
      <c r="AJ753" s="583"/>
      <c r="AK753" s="583"/>
      <c r="AL753" s="511"/>
      <c r="AM753" s="584"/>
      <c r="AN753" s="584"/>
      <c r="AO753" s="584"/>
      <c r="AP753" s="671"/>
      <c r="AQ753" s="584"/>
      <c r="AR753" s="583"/>
      <c r="AS753" s="583"/>
      <c r="AT753" s="585"/>
      <c r="AU753" s="585"/>
      <c r="AV753" s="585"/>
      <c r="AW753" s="585"/>
      <c r="AX753" s="673"/>
      <c r="AY753" s="380"/>
      <c r="AZ753" s="380"/>
      <c r="BA753" s="380"/>
      <c r="BB753" s="380"/>
      <c r="BC753" s="380"/>
      <c r="BD753" s="380"/>
      <c r="BE753" s="380"/>
      <c r="BF753" s="380"/>
      <c r="BG753" s="380"/>
      <c r="BH753" s="380"/>
      <c r="BI753" s="511"/>
      <c r="BJ753" s="380"/>
      <c r="BK753" s="380"/>
      <c r="BL753" s="380"/>
      <c r="BM753" s="380"/>
      <c r="BN753" s="380"/>
      <c r="BO753" s="380"/>
      <c r="BP753" s="380"/>
      <c r="BQ753" s="380"/>
      <c r="BR753" s="380"/>
    </row>
    <row r="754" spans="1:70" ht="12.75" customHeight="1" x14ac:dyDescent="0.25">
      <c r="A754" s="380"/>
      <c r="B754" s="380"/>
      <c r="C754" s="380"/>
      <c r="D754" s="380"/>
      <c r="E754" s="511"/>
      <c r="F754" s="511"/>
      <c r="G754" s="582"/>
      <c r="H754" s="511"/>
      <c r="I754" s="511"/>
      <c r="J754" s="582"/>
      <c r="K754" s="511"/>
      <c r="L754" s="511"/>
      <c r="M754" s="582"/>
      <c r="N754" s="582"/>
      <c r="O754" s="582"/>
      <c r="P754" s="582"/>
      <c r="Q754" s="511"/>
      <c r="R754" s="511"/>
      <c r="S754" s="511"/>
      <c r="T754" s="639"/>
      <c r="U754" s="511"/>
      <c r="V754" s="511"/>
      <c r="W754" s="511"/>
      <c r="X754" s="511"/>
      <c r="Y754" s="380"/>
      <c r="Z754" s="380"/>
      <c r="AA754" s="380"/>
      <c r="AB754" s="380"/>
      <c r="AC754" s="380"/>
      <c r="AD754" s="671"/>
      <c r="AE754" s="380"/>
      <c r="AF754" s="380"/>
      <c r="AG754" s="380"/>
      <c r="AH754" s="671"/>
      <c r="AI754" s="380"/>
      <c r="AJ754" s="583"/>
      <c r="AK754" s="583"/>
      <c r="AL754" s="511"/>
      <c r="AM754" s="584"/>
      <c r="AN754" s="584"/>
      <c r="AO754" s="584"/>
      <c r="AP754" s="671"/>
      <c r="AQ754" s="584"/>
      <c r="AR754" s="583"/>
      <c r="AS754" s="583"/>
      <c r="AT754" s="585"/>
      <c r="AU754" s="585"/>
      <c r="AV754" s="585"/>
      <c r="AW754" s="585"/>
      <c r="AX754" s="673"/>
      <c r="AY754" s="380"/>
      <c r="AZ754" s="380"/>
      <c r="BA754" s="380"/>
      <c r="BB754" s="380"/>
      <c r="BC754" s="380"/>
      <c r="BD754" s="380"/>
      <c r="BE754" s="380"/>
      <c r="BF754" s="380"/>
      <c r="BG754" s="380"/>
      <c r="BH754" s="380"/>
      <c r="BI754" s="511"/>
      <c r="BJ754" s="380"/>
      <c r="BK754" s="380"/>
      <c r="BL754" s="380"/>
      <c r="BM754" s="380"/>
      <c r="BN754" s="380"/>
      <c r="BO754" s="380"/>
      <c r="BP754" s="380"/>
      <c r="BQ754" s="380"/>
      <c r="BR754" s="380"/>
    </row>
    <row r="755" spans="1:70" ht="12.75" customHeight="1" x14ac:dyDescent="0.25">
      <c r="A755" s="380"/>
      <c r="B755" s="380"/>
      <c r="C755" s="380"/>
      <c r="D755" s="380"/>
      <c r="E755" s="511"/>
      <c r="F755" s="511"/>
      <c r="G755" s="582"/>
      <c r="H755" s="511"/>
      <c r="I755" s="511"/>
      <c r="J755" s="582"/>
      <c r="K755" s="511"/>
      <c r="L755" s="511"/>
      <c r="M755" s="582"/>
      <c r="N755" s="582"/>
      <c r="O755" s="582"/>
      <c r="P755" s="582"/>
      <c r="Q755" s="511"/>
      <c r="R755" s="511"/>
      <c r="S755" s="511"/>
      <c r="T755" s="639"/>
      <c r="U755" s="511"/>
      <c r="V755" s="511"/>
      <c r="W755" s="511"/>
      <c r="X755" s="511"/>
      <c r="Y755" s="380"/>
      <c r="Z755" s="380"/>
      <c r="AA755" s="380"/>
      <c r="AB755" s="380"/>
      <c r="AC755" s="380"/>
      <c r="AD755" s="671"/>
      <c r="AE755" s="380"/>
      <c r="AF755" s="380"/>
      <c r="AG755" s="380"/>
      <c r="AH755" s="671"/>
      <c r="AI755" s="380"/>
      <c r="AJ755" s="583"/>
      <c r="AK755" s="583"/>
      <c r="AL755" s="511"/>
      <c r="AM755" s="584"/>
      <c r="AN755" s="584"/>
      <c r="AO755" s="584"/>
      <c r="AP755" s="671"/>
      <c r="AQ755" s="584"/>
      <c r="AR755" s="583"/>
      <c r="AS755" s="583"/>
      <c r="AT755" s="585"/>
      <c r="AU755" s="585"/>
      <c r="AV755" s="585"/>
      <c r="AW755" s="585"/>
      <c r="AX755" s="673"/>
      <c r="AY755" s="380"/>
      <c r="AZ755" s="380"/>
      <c r="BA755" s="380"/>
      <c r="BB755" s="380"/>
      <c r="BC755" s="380"/>
      <c r="BD755" s="380"/>
      <c r="BE755" s="380"/>
      <c r="BF755" s="380"/>
      <c r="BG755" s="380"/>
      <c r="BH755" s="380"/>
      <c r="BI755" s="511"/>
      <c r="BJ755" s="380"/>
      <c r="BK755" s="380"/>
      <c r="BL755" s="380"/>
      <c r="BM755" s="380"/>
      <c r="BN755" s="380"/>
      <c r="BO755" s="380"/>
      <c r="BP755" s="380"/>
      <c r="BQ755" s="380"/>
      <c r="BR755" s="380"/>
    </row>
    <row r="756" spans="1:70" ht="12.75" customHeight="1" x14ac:dyDescent="0.25">
      <c r="A756" s="380"/>
      <c r="B756" s="380"/>
      <c r="C756" s="380"/>
      <c r="D756" s="380"/>
      <c r="E756" s="511"/>
      <c r="F756" s="511"/>
      <c r="G756" s="582"/>
      <c r="H756" s="511"/>
      <c r="I756" s="511"/>
      <c r="J756" s="582"/>
      <c r="K756" s="511"/>
      <c r="L756" s="511"/>
      <c r="M756" s="582"/>
      <c r="N756" s="582"/>
      <c r="O756" s="582"/>
      <c r="P756" s="582"/>
      <c r="Q756" s="511"/>
      <c r="R756" s="511"/>
      <c r="S756" s="511"/>
      <c r="T756" s="639"/>
      <c r="U756" s="511"/>
      <c r="V756" s="511"/>
      <c r="W756" s="511"/>
      <c r="X756" s="511"/>
      <c r="Y756" s="380"/>
      <c r="Z756" s="380"/>
      <c r="AA756" s="380"/>
      <c r="AB756" s="380"/>
      <c r="AC756" s="380"/>
      <c r="AD756" s="671"/>
      <c r="AE756" s="380"/>
      <c r="AF756" s="380"/>
      <c r="AG756" s="380"/>
      <c r="AH756" s="671"/>
      <c r="AI756" s="380"/>
      <c r="AJ756" s="583"/>
      <c r="AK756" s="583"/>
      <c r="AL756" s="511"/>
      <c r="AM756" s="584"/>
      <c r="AN756" s="584"/>
      <c r="AO756" s="584"/>
      <c r="AP756" s="671"/>
      <c r="AQ756" s="584"/>
      <c r="AR756" s="583"/>
      <c r="AS756" s="583"/>
      <c r="AT756" s="585"/>
      <c r="AU756" s="585"/>
      <c r="AV756" s="585"/>
      <c r="AW756" s="585"/>
      <c r="AX756" s="673"/>
      <c r="AY756" s="380"/>
      <c r="AZ756" s="380"/>
      <c r="BA756" s="380"/>
      <c r="BB756" s="380"/>
      <c r="BC756" s="380"/>
      <c r="BD756" s="380"/>
      <c r="BE756" s="380"/>
      <c r="BF756" s="380"/>
      <c r="BG756" s="380"/>
      <c r="BH756" s="380"/>
      <c r="BI756" s="511"/>
      <c r="BJ756" s="380"/>
      <c r="BK756" s="380"/>
      <c r="BL756" s="380"/>
      <c r="BM756" s="380"/>
      <c r="BN756" s="380"/>
      <c r="BO756" s="380"/>
      <c r="BP756" s="380"/>
      <c r="BQ756" s="380"/>
      <c r="BR756" s="380"/>
    </row>
    <row r="757" spans="1:70" ht="12.75" customHeight="1" x14ac:dyDescent="0.25">
      <c r="A757" s="380"/>
      <c r="B757" s="380"/>
      <c r="C757" s="380"/>
      <c r="D757" s="380"/>
      <c r="E757" s="511"/>
      <c r="F757" s="511"/>
      <c r="G757" s="582"/>
      <c r="H757" s="511"/>
      <c r="I757" s="511"/>
      <c r="J757" s="582"/>
      <c r="K757" s="511"/>
      <c r="L757" s="511"/>
      <c r="M757" s="582"/>
      <c r="N757" s="582"/>
      <c r="O757" s="582"/>
      <c r="P757" s="582"/>
      <c r="Q757" s="511"/>
      <c r="R757" s="511"/>
      <c r="S757" s="511"/>
      <c r="T757" s="639"/>
      <c r="U757" s="511"/>
      <c r="V757" s="511"/>
      <c r="W757" s="511"/>
      <c r="X757" s="511"/>
      <c r="Y757" s="380"/>
      <c r="Z757" s="380"/>
      <c r="AA757" s="380"/>
      <c r="AB757" s="380"/>
      <c r="AC757" s="380"/>
      <c r="AD757" s="671"/>
      <c r="AE757" s="380"/>
      <c r="AF757" s="380"/>
      <c r="AG757" s="380"/>
      <c r="AH757" s="671"/>
      <c r="AI757" s="380"/>
      <c r="AJ757" s="583"/>
      <c r="AK757" s="583"/>
      <c r="AL757" s="511"/>
      <c r="AM757" s="584"/>
      <c r="AN757" s="584"/>
      <c r="AO757" s="584"/>
      <c r="AP757" s="671"/>
      <c r="AQ757" s="584"/>
      <c r="AR757" s="583"/>
      <c r="AS757" s="583"/>
      <c r="AT757" s="585"/>
      <c r="AU757" s="585"/>
      <c r="AV757" s="585"/>
      <c r="AW757" s="585"/>
      <c r="AX757" s="673"/>
      <c r="AY757" s="380"/>
      <c r="AZ757" s="380"/>
      <c r="BA757" s="380"/>
      <c r="BB757" s="380"/>
      <c r="BC757" s="380"/>
      <c r="BD757" s="380"/>
      <c r="BE757" s="380"/>
      <c r="BF757" s="380"/>
      <c r="BG757" s="380"/>
      <c r="BH757" s="380"/>
      <c r="BI757" s="511"/>
      <c r="BJ757" s="380"/>
      <c r="BK757" s="380"/>
      <c r="BL757" s="380"/>
      <c r="BM757" s="380"/>
      <c r="BN757" s="380"/>
      <c r="BO757" s="380"/>
      <c r="BP757" s="380"/>
      <c r="BQ757" s="380"/>
      <c r="BR757" s="380"/>
    </row>
    <row r="758" spans="1:70" ht="12.75" customHeight="1" x14ac:dyDescent="0.25">
      <c r="A758" s="380"/>
      <c r="B758" s="380"/>
      <c r="C758" s="380"/>
      <c r="D758" s="380"/>
      <c r="E758" s="511"/>
      <c r="F758" s="511"/>
      <c r="G758" s="582"/>
      <c r="H758" s="511"/>
      <c r="I758" s="511"/>
      <c r="J758" s="582"/>
      <c r="K758" s="511"/>
      <c r="L758" s="511"/>
      <c r="M758" s="582"/>
      <c r="N758" s="582"/>
      <c r="O758" s="582"/>
      <c r="P758" s="582"/>
      <c r="Q758" s="511"/>
      <c r="R758" s="511"/>
      <c r="S758" s="511"/>
      <c r="T758" s="639"/>
      <c r="U758" s="511"/>
      <c r="V758" s="511"/>
      <c r="W758" s="511"/>
      <c r="X758" s="511"/>
      <c r="Y758" s="380"/>
      <c r="Z758" s="380"/>
      <c r="AA758" s="380"/>
      <c r="AB758" s="380"/>
      <c r="AC758" s="380"/>
      <c r="AD758" s="671"/>
      <c r="AE758" s="380"/>
      <c r="AF758" s="380"/>
      <c r="AG758" s="380"/>
      <c r="AH758" s="671"/>
      <c r="AI758" s="380"/>
      <c r="AJ758" s="583"/>
      <c r="AK758" s="583"/>
      <c r="AL758" s="511"/>
      <c r="AM758" s="584"/>
      <c r="AN758" s="584"/>
      <c r="AO758" s="584"/>
      <c r="AP758" s="671"/>
      <c r="AQ758" s="584"/>
      <c r="AR758" s="583"/>
      <c r="AS758" s="583"/>
      <c r="AT758" s="585"/>
      <c r="AU758" s="585"/>
      <c r="AV758" s="585"/>
      <c r="AW758" s="585"/>
      <c r="AX758" s="673"/>
      <c r="AY758" s="380"/>
      <c r="AZ758" s="380"/>
      <c r="BA758" s="380"/>
      <c r="BB758" s="380"/>
      <c r="BC758" s="380"/>
      <c r="BD758" s="380"/>
      <c r="BE758" s="380"/>
      <c r="BF758" s="380"/>
      <c r="BG758" s="380"/>
      <c r="BH758" s="380"/>
      <c r="BI758" s="511"/>
      <c r="BJ758" s="380"/>
      <c r="BK758" s="380"/>
      <c r="BL758" s="380"/>
      <c r="BM758" s="380"/>
      <c r="BN758" s="380"/>
      <c r="BO758" s="380"/>
      <c r="BP758" s="380"/>
      <c r="BQ758" s="380"/>
      <c r="BR758" s="380"/>
    </row>
    <row r="759" spans="1:70" ht="12.75" customHeight="1" x14ac:dyDescent="0.25">
      <c r="A759" s="380"/>
      <c r="B759" s="380"/>
      <c r="C759" s="380"/>
      <c r="D759" s="380"/>
      <c r="E759" s="511"/>
      <c r="F759" s="511"/>
      <c r="G759" s="582"/>
      <c r="H759" s="511"/>
      <c r="I759" s="511"/>
      <c r="J759" s="582"/>
      <c r="K759" s="511"/>
      <c r="L759" s="511"/>
      <c r="M759" s="582"/>
      <c r="N759" s="582"/>
      <c r="O759" s="582"/>
      <c r="P759" s="582"/>
      <c r="Q759" s="511"/>
      <c r="R759" s="511"/>
      <c r="S759" s="511"/>
      <c r="T759" s="639"/>
      <c r="U759" s="511"/>
      <c r="V759" s="511"/>
      <c r="W759" s="511"/>
      <c r="X759" s="511"/>
      <c r="Y759" s="380"/>
      <c r="Z759" s="380"/>
      <c r="AA759" s="380"/>
      <c r="AB759" s="380"/>
      <c r="AC759" s="380"/>
      <c r="AD759" s="671"/>
      <c r="AE759" s="380"/>
      <c r="AF759" s="380"/>
      <c r="AG759" s="380"/>
      <c r="AH759" s="671"/>
      <c r="AI759" s="380"/>
      <c r="AJ759" s="583"/>
      <c r="AK759" s="583"/>
      <c r="AL759" s="511"/>
      <c r="AM759" s="584"/>
      <c r="AN759" s="584"/>
      <c r="AO759" s="584"/>
      <c r="AP759" s="671"/>
      <c r="AQ759" s="584"/>
      <c r="AR759" s="583"/>
      <c r="AS759" s="583"/>
      <c r="AT759" s="585"/>
      <c r="AU759" s="585"/>
      <c r="AV759" s="585"/>
      <c r="AW759" s="585"/>
      <c r="AX759" s="673"/>
      <c r="AY759" s="380"/>
      <c r="AZ759" s="380"/>
      <c r="BA759" s="380"/>
      <c r="BB759" s="380"/>
      <c r="BC759" s="380"/>
      <c r="BD759" s="380"/>
      <c r="BE759" s="380"/>
      <c r="BF759" s="380"/>
      <c r="BG759" s="380"/>
      <c r="BH759" s="380"/>
      <c r="BI759" s="511"/>
      <c r="BJ759" s="380"/>
      <c r="BK759" s="380"/>
      <c r="BL759" s="380"/>
      <c r="BM759" s="380"/>
      <c r="BN759" s="380"/>
      <c r="BO759" s="380"/>
      <c r="BP759" s="380"/>
      <c r="BQ759" s="380"/>
      <c r="BR759" s="380"/>
    </row>
    <row r="760" spans="1:70" ht="12.75" customHeight="1" x14ac:dyDescent="0.25">
      <c r="A760" s="380"/>
      <c r="B760" s="380"/>
      <c r="C760" s="380"/>
      <c r="D760" s="380"/>
      <c r="E760" s="511"/>
      <c r="F760" s="511"/>
      <c r="G760" s="582"/>
      <c r="H760" s="511"/>
      <c r="I760" s="511"/>
      <c r="J760" s="582"/>
      <c r="K760" s="511"/>
      <c r="L760" s="511"/>
      <c r="M760" s="582"/>
      <c r="N760" s="582"/>
      <c r="O760" s="582"/>
      <c r="P760" s="582"/>
      <c r="Q760" s="511"/>
      <c r="R760" s="511"/>
      <c r="S760" s="511"/>
      <c r="T760" s="639"/>
      <c r="U760" s="511"/>
      <c r="V760" s="511"/>
      <c r="W760" s="511"/>
      <c r="X760" s="511"/>
      <c r="Y760" s="380"/>
      <c r="Z760" s="380"/>
      <c r="AA760" s="380"/>
      <c r="AB760" s="380"/>
      <c r="AC760" s="380"/>
      <c r="AD760" s="671"/>
      <c r="AE760" s="380"/>
      <c r="AF760" s="380"/>
      <c r="AG760" s="380"/>
      <c r="AH760" s="671"/>
      <c r="AI760" s="380"/>
      <c r="AJ760" s="583"/>
      <c r="AK760" s="583"/>
      <c r="AL760" s="511"/>
      <c r="AM760" s="584"/>
      <c r="AN760" s="584"/>
      <c r="AO760" s="584"/>
      <c r="AP760" s="671"/>
      <c r="AQ760" s="584"/>
      <c r="AR760" s="583"/>
      <c r="AS760" s="583"/>
      <c r="AT760" s="585"/>
      <c r="AU760" s="585"/>
      <c r="AV760" s="585"/>
      <c r="AW760" s="585"/>
      <c r="AX760" s="673"/>
      <c r="AY760" s="380"/>
      <c r="AZ760" s="380"/>
      <c r="BA760" s="380"/>
      <c r="BB760" s="380"/>
      <c r="BC760" s="380"/>
      <c r="BD760" s="380"/>
      <c r="BE760" s="380"/>
      <c r="BF760" s="380"/>
      <c r="BG760" s="380"/>
      <c r="BH760" s="380"/>
      <c r="BI760" s="511"/>
      <c r="BJ760" s="380"/>
      <c r="BK760" s="380"/>
      <c r="BL760" s="380"/>
      <c r="BM760" s="380"/>
      <c r="BN760" s="380"/>
      <c r="BO760" s="380"/>
      <c r="BP760" s="380"/>
      <c r="BQ760" s="380"/>
      <c r="BR760" s="380"/>
    </row>
    <row r="761" spans="1:70" ht="12.75" customHeight="1" x14ac:dyDescent="0.25">
      <c r="A761" s="380"/>
      <c r="B761" s="380"/>
      <c r="C761" s="380"/>
      <c r="D761" s="380"/>
      <c r="E761" s="511"/>
      <c r="F761" s="511"/>
      <c r="G761" s="582"/>
      <c r="H761" s="511"/>
      <c r="I761" s="511"/>
      <c r="J761" s="582"/>
      <c r="K761" s="511"/>
      <c r="L761" s="511"/>
      <c r="M761" s="582"/>
      <c r="N761" s="582"/>
      <c r="O761" s="582"/>
      <c r="P761" s="582"/>
      <c r="Q761" s="511"/>
      <c r="R761" s="511"/>
      <c r="S761" s="511"/>
      <c r="T761" s="639"/>
      <c r="U761" s="511"/>
      <c r="V761" s="511"/>
      <c r="W761" s="511"/>
      <c r="X761" s="511"/>
      <c r="Y761" s="380"/>
      <c r="Z761" s="380"/>
      <c r="AA761" s="380"/>
      <c r="AB761" s="380"/>
      <c r="AC761" s="380"/>
      <c r="AD761" s="671"/>
      <c r="AE761" s="380"/>
      <c r="AF761" s="380"/>
      <c r="AG761" s="380"/>
      <c r="AH761" s="671"/>
      <c r="AI761" s="380"/>
      <c r="AJ761" s="583"/>
      <c r="AK761" s="583"/>
      <c r="AL761" s="511"/>
      <c r="AM761" s="584"/>
      <c r="AN761" s="584"/>
      <c r="AO761" s="584"/>
      <c r="AP761" s="671"/>
      <c r="AQ761" s="584"/>
      <c r="AR761" s="583"/>
      <c r="AS761" s="583"/>
      <c r="AT761" s="585"/>
      <c r="AU761" s="585"/>
      <c r="AV761" s="585"/>
      <c r="AW761" s="585"/>
      <c r="AX761" s="673"/>
      <c r="AY761" s="380"/>
      <c r="AZ761" s="380"/>
      <c r="BA761" s="380"/>
      <c r="BB761" s="380"/>
      <c r="BC761" s="380"/>
      <c r="BD761" s="380"/>
      <c r="BE761" s="380"/>
      <c r="BF761" s="380"/>
      <c r="BG761" s="380"/>
      <c r="BH761" s="380"/>
      <c r="BI761" s="511"/>
      <c r="BJ761" s="380"/>
      <c r="BK761" s="380"/>
      <c r="BL761" s="380"/>
      <c r="BM761" s="380"/>
      <c r="BN761" s="380"/>
      <c r="BO761" s="380"/>
      <c r="BP761" s="380"/>
      <c r="BQ761" s="380"/>
      <c r="BR761" s="380"/>
    </row>
    <row r="762" spans="1:70" ht="12.75" customHeight="1" x14ac:dyDescent="0.25">
      <c r="A762" s="380"/>
      <c r="B762" s="380"/>
      <c r="C762" s="380"/>
      <c r="D762" s="380"/>
      <c r="E762" s="511"/>
      <c r="F762" s="511"/>
      <c r="G762" s="582"/>
      <c r="H762" s="511"/>
      <c r="I762" s="511"/>
      <c r="J762" s="582"/>
      <c r="K762" s="511"/>
      <c r="L762" s="511"/>
      <c r="M762" s="582"/>
      <c r="N762" s="582"/>
      <c r="O762" s="582"/>
      <c r="P762" s="582"/>
      <c r="Q762" s="511"/>
      <c r="R762" s="511"/>
      <c r="S762" s="511"/>
      <c r="T762" s="639"/>
      <c r="U762" s="511"/>
      <c r="V762" s="511"/>
      <c r="W762" s="511"/>
      <c r="X762" s="511"/>
      <c r="Y762" s="380"/>
      <c r="Z762" s="380"/>
      <c r="AA762" s="380"/>
      <c r="AB762" s="380"/>
      <c r="AC762" s="380"/>
      <c r="AD762" s="671"/>
      <c r="AE762" s="380"/>
      <c r="AF762" s="380"/>
      <c r="AG762" s="380"/>
      <c r="AH762" s="671"/>
      <c r="AI762" s="380"/>
      <c r="AJ762" s="583"/>
      <c r="AK762" s="583"/>
      <c r="AL762" s="511"/>
      <c r="AM762" s="584"/>
      <c r="AN762" s="584"/>
      <c r="AO762" s="584"/>
      <c r="AP762" s="671"/>
      <c r="AQ762" s="584"/>
      <c r="AR762" s="583"/>
      <c r="AS762" s="583"/>
      <c r="AT762" s="585"/>
      <c r="AU762" s="585"/>
      <c r="AV762" s="585"/>
      <c r="AW762" s="585"/>
      <c r="AX762" s="673"/>
      <c r="AY762" s="380"/>
      <c r="AZ762" s="380"/>
      <c r="BA762" s="380"/>
      <c r="BB762" s="380"/>
      <c r="BC762" s="380"/>
      <c r="BD762" s="380"/>
      <c r="BE762" s="380"/>
      <c r="BF762" s="380"/>
      <c r="BG762" s="380"/>
      <c r="BH762" s="380"/>
      <c r="BI762" s="511"/>
      <c r="BJ762" s="380"/>
      <c r="BK762" s="380"/>
      <c r="BL762" s="380"/>
      <c r="BM762" s="380"/>
      <c r="BN762" s="380"/>
      <c r="BO762" s="380"/>
      <c r="BP762" s="380"/>
      <c r="BQ762" s="380"/>
      <c r="BR762" s="380"/>
    </row>
    <row r="763" spans="1:70" ht="12.75" customHeight="1" x14ac:dyDescent="0.25">
      <c r="A763" s="380"/>
      <c r="B763" s="380"/>
      <c r="C763" s="380"/>
      <c r="D763" s="380"/>
      <c r="E763" s="511"/>
      <c r="F763" s="511"/>
      <c r="G763" s="582"/>
      <c r="H763" s="511"/>
      <c r="I763" s="511"/>
      <c r="J763" s="582"/>
      <c r="K763" s="511"/>
      <c r="L763" s="511"/>
      <c r="M763" s="582"/>
      <c r="N763" s="582"/>
      <c r="O763" s="582"/>
      <c r="P763" s="582"/>
      <c r="Q763" s="511"/>
      <c r="R763" s="511"/>
      <c r="S763" s="511"/>
      <c r="T763" s="639"/>
      <c r="U763" s="511"/>
      <c r="V763" s="511"/>
      <c r="W763" s="511"/>
      <c r="X763" s="511"/>
      <c r="Y763" s="380"/>
      <c r="Z763" s="380"/>
      <c r="AA763" s="380"/>
      <c r="AB763" s="380"/>
      <c r="AC763" s="380"/>
      <c r="AD763" s="671"/>
      <c r="AE763" s="380"/>
      <c r="AF763" s="380"/>
      <c r="AG763" s="380"/>
      <c r="AH763" s="671"/>
      <c r="AI763" s="380"/>
      <c r="AJ763" s="583"/>
      <c r="AK763" s="583"/>
      <c r="AL763" s="511"/>
      <c r="AM763" s="584"/>
      <c r="AN763" s="584"/>
      <c r="AO763" s="584"/>
      <c r="AP763" s="671"/>
      <c r="AQ763" s="584"/>
      <c r="AR763" s="583"/>
      <c r="AS763" s="583"/>
      <c r="AT763" s="585"/>
      <c r="AU763" s="585"/>
      <c r="AV763" s="585"/>
      <c r="AW763" s="585"/>
      <c r="AX763" s="673"/>
      <c r="AY763" s="380"/>
      <c r="AZ763" s="380"/>
      <c r="BA763" s="380"/>
      <c r="BB763" s="380"/>
      <c r="BC763" s="380"/>
      <c r="BD763" s="380"/>
      <c r="BE763" s="380"/>
      <c r="BF763" s="380"/>
      <c r="BG763" s="380"/>
      <c r="BH763" s="380"/>
      <c r="BI763" s="511"/>
      <c r="BJ763" s="380"/>
      <c r="BK763" s="380"/>
      <c r="BL763" s="380"/>
      <c r="BM763" s="380"/>
      <c r="BN763" s="380"/>
      <c r="BO763" s="380"/>
      <c r="BP763" s="380"/>
      <c r="BQ763" s="380"/>
      <c r="BR763" s="380"/>
    </row>
    <row r="764" spans="1:70" ht="12.75" customHeight="1" x14ac:dyDescent="0.25">
      <c r="A764" s="380"/>
      <c r="B764" s="380"/>
      <c r="C764" s="380"/>
      <c r="D764" s="380"/>
      <c r="E764" s="511"/>
      <c r="F764" s="511"/>
      <c r="G764" s="582"/>
      <c r="H764" s="511"/>
      <c r="I764" s="511"/>
      <c r="J764" s="582"/>
      <c r="K764" s="511"/>
      <c r="L764" s="511"/>
      <c r="M764" s="582"/>
      <c r="N764" s="582"/>
      <c r="O764" s="582"/>
      <c r="P764" s="582"/>
      <c r="Q764" s="511"/>
      <c r="R764" s="511"/>
      <c r="S764" s="511"/>
      <c r="T764" s="639"/>
      <c r="U764" s="511"/>
      <c r="V764" s="511"/>
      <c r="W764" s="511"/>
      <c r="X764" s="511"/>
      <c r="Y764" s="380"/>
      <c r="Z764" s="380"/>
      <c r="AA764" s="380"/>
      <c r="AB764" s="380"/>
      <c r="AC764" s="380"/>
      <c r="AD764" s="671"/>
      <c r="AE764" s="380"/>
      <c r="AF764" s="380"/>
      <c r="AG764" s="380"/>
      <c r="AH764" s="671"/>
      <c r="AI764" s="380"/>
      <c r="AJ764" s="583"/>
      <c r="AK764" s="583"/>
      <c r="AL764" s="511"/>
      <c r="AM764" s="584"/>
      <c r="AN764" s="584"/>
      <c r="AO764" s="584"/>
      <c r="AP764" s="671"/>
      <c r="AQ764" s="584"/>
      <c r="AR764" s="583"/>
      <c r="AS764" s="583"/>
      <c r="AT764" s="585"/>
      <c r="AU764" s="585"/>
      <c r="AV764" s="585"/>
      <c r="AW764" s="585"/>
      <c r="AX764" s="673"/>
      <c r="AY764" s="380"/>
      <c r="AZ764" s="380"/>
      <c r="BA764" s="380"/>
      <c r="BB764" s="380"/>
      <c r="BC764" s="380"/>
      <c r="BD764" s="380"/>
      <c r="BE764" s="380"/>
      <c r="BF764" s="380"/>
      <c r="BG764" s="380"/>
      <c r="BH764" s="380"/>
      <c r="BI764" s="511"/>
      <c r="BJ764" s="380"/>
      <c r="BK764" s="380"/>
      <c r="BL764" s="380"/>
      <c r="BM764" s="380"/>
      <c r="BN764" s="380"/>
      <c r="BO764" s="380"/>
      <c r="BP764" s="380"/>
      <c r="BQ764" s="380"/>
      <c r="BR764" s="380"/>
    </row>
    <row r="765" spans="1:70" ht="12.75" customHeight="1" x14ac:dyDescent="0.25">
      <c r="A765" s="380"/>
      <c r="B765" s="380"/>
      <c r="C765" s="380"/>
      <c r="D765" s="380"/>
      <c r="E765" s="511"/>
      <c r="F765" s="511"/>
      <c r="G765" s="582"/>
      <c r="H765" s="511"/>
      <c r="I765" s="511"/>
      <c r="J765" s="582"/>
      <c r="K765" s="511"/>
      <c r="L765" s="511"/>
      <c r="M765" s="582"/>
      <c r="N765" s="582"/>
      <c r="O765" s="582"/>
      <c r="P765" s="582"/>
      <c r="Q765" s="511"/>
      <c r="R765" s="511"/>
      <c r="S765" s="511"/>
      <c r="T765" s="639"/>
      <c r="U765" s="511"/>
      <c r="V765" s="511"/>
      <c r="W765" s="511"/>
      <c r="X765" s="511"/>
      <c r="Y765" s="380"/>
      <c r="Z765" s="380"/>
      <c r="AA765" s="380"/>
      <c r="AB765" s="380"/>
      <c r="AC765" s="380"/>
      <c r="AD765" s="671"/>
      <c r="AE765" s="380"/>
      <c r="AF765" s="380"/>
      <c r="AG765" s="380"/>
      <c r="AH765" s="671"/>
      <c r="AI765" s="380"/>
      <c r="AJ765" s="583"/>
      <c r="AK765" s="583"/>
      <c r="AL765" s="511"/>
      <c r="AM765" s="584"/>
      <c r="AN765" s="584"/>
      <c r="AO765" s="584"/>
      <c r="AP765" s="671"/>
      <c r="AQ765" s="584"/>
      <c r="AR765" s="583"/>
      <c r="AS765" s="583"/>
      <c r="AT765" s="585"/>
      <c r="AU765" s="585"/>
      <c r="AV765" s="585"/>
      <c r="AW765" s="585"/>
      <c r="AX765" s="673"/>
      <c r="AY765" s="380"/>
      <c r="AZ765" s="380"/>
      <c r="BA765" s="380"/>
      <c r="BB765" s="380"/>
      <c r="BC765" s="380"/>
      <c r="BD765" s="380"/>
      <c r="BE765" s="380"/>
      <c r="BF765" s="380"/>
      <c r="BG765" s="380"/>
      <c r="BH765" s="380"/>
      <c r="BI765" s="511"/>
      <c r="BJ765" s="380"/>
      <c r="BK765" s="380"/>
      <c r="BL765" s="380"/>
      <c r="BM765" s="380"/>
      <c r="BN765" s="380"/>
      <c r="BO765" s="380"/>
      <c r="BP765" s="380"/>
      <c r="BQ765" s="380"/>
      <c r="BR765" s="380"/>
    </row>
    <row r="766" spans="1:70" ht="12.75" customHeight="1" x14ac:dyDescent="0.25">
      <c r="A766" s="380"/>
      <c r="B766" s="380"/>
      <c r="C766" s="380"/>
      <c r="D766" s="380"/>
      <c r="E766" s="511"/>
      <c r="F766" s="511"/>
      <c r="G766" s="582"/>
      <c r="H766" s="511"/>
      <c r="I766" s="511"/>
      <c r="J766" s="582"/>
      <c r="K766" s="511"/>
      <c r="L766" s="511"/>
      <c r="M766" s="582"/>
      <c r="N766" s="582"/>
      <c r="O766" s="582"/>
      <c r="P766" s="582"/>
      <c r="Q766" s="511"/>
      <c r="R766" s="511"/>
      <c r="S766" s="511"/>
      <c r="T766" s="639"/>
      <c r="U766" s="511"/>
      <c r="V766" s="511"/>
      <c r="W766" s="511"/>
      <c r="X766" s="511"/>
      <c r="Y766" s="380"/>
      <c r="Z766" s="380"/>
      <c r="AA766" s="380"/>
      <c r="AB766" s="380"/>
      <c r="AC766" s="380"/>
      <c r="AD766" s="671"/>
      <c r="AE766" s="380"/>
      <c r="AF766" s="380"/>
      <c r="AG766" s="380"/>
      <c r="AH766" s="671"/>
      <c r="AI766" s="380"/>
      <c r="AJ766" s="583"/>
      <c r="AK766" s="583"/>
      <c r="AL766" s="511"/>
      <c r="AM766" s="584"/>
      <c r="AN766" s="584"/>
      <c r="AO766" s="584"/>
      <c r="AP766" s="671"/>
      <c r="AQ766" s="584"/>
      <c r="AR766" s="583"/>
      <c r="AS766" s="583"/>
      <c r="AT766" s="585"/>
      <c r="AU766" s="585"/>
      <c r="AV766" s="585"/>
      <c r="AW766" s="585"/>
      <c r="AX766" s="673"/>
      <c r="AY766" s="380"/>
      <c r="AZ766" s="380"/>
      <c r="BA766" s="380"/>
      <c r="BB766" s="380"/>
      <c r="BC766" s="380"/>
      <c r="BD766" s="380"/>
      <c r="BE766" s="380"/>
      <c r="BF766" s="380"/>
      <c r="BG766" s="380"/>
      <c r="BH766" s="380"/>
      <c r="BI766" s="511"/>
      <c r="BJ766" s="380"/>
      <c r="BK766" s="380"/>
      <c r="BL766" s="380"/>
      <c r="BM766" s="380"/>
      <c r="BN766" s="380"/>
      <c r="BO766" s="380"/>
      <c r="BP766" s="380"/>
      <c r="BQ766" s="380"/>
      <c r="BR766" s="380"/>
    </row>
    <row r="767" spans="1:70" ht="12.75" customHeight="1" x14ac:dyDescent="0.25">
      <c r="A767" s="380"/>
      <c r="B767" s="380"/>
      <c r="C767" s="380"/>
      <c r="D767" s="380"/>
      <c r="E767" s="511"/>
      <c r="F767" s="511"/>
      <c r="G767" s="582"/>
      <c r="H767" s="511"/>
      <c r="I767" s="511"/>
      <c r="J767" s="582"/>
      <c r="K767" s="511"/>
      <c r="L767" s="511"/>
      <c r="M767" s="582"/>
      <c r="N767" s="582"/>
      <c r="O767" s="582"/>
      <c r="P767" s="582"/>
      <c r="Q767" s="511"/>
      <c r="R767" s="511"/>
      <c r="S767" s="511"/>
      <c r="T767" s="639"/>
      <c r="U767" s="511"/>
      <c r="V767" s="511"/>
      <c r="W767" s="511"/>
      <c r="X767" s="511"/>
      <c r="Y767" s="380"/>
      <c r="Z767" s="380"/>
      <c r="AA767" s="380"/>
      <c r="AB767" s="380"/>
      <c r="AC767" s="380"/>
      <c r="AD767" s="671"/>
      <c r="AE767" s="380"/>
      <c r="AF767" s="380"/>
      <c r="AG767" s="380"/>
      <c r="AH767" s="671"/>
      <c r="AI767" s="380"/>
      <c r="AJ767" s="583"/>
      <c r="AK767" s="583"/>
      <c r="AL767" s="511"/>
      <c r="AM767" s="584"/>
      <c r="AN767" s="584"/>
      <c r="AO767" s="584"/>
      <c r="AP767" s="671"/>
      <c r="AQ767" s="584"/>
      <c r="AR767" s="583"/>
      <c r="AS767" s="583"/>
      <c r="AT767" s="585"/>
      <c r="AU767" s="585"/>
      <c r="AV767" s="585"/>
      <c r="AW767" s="585"/>
      <c r="AX767" s="673"/>
      <c r="AY767" s="380"/>
      <c r="AZ767" s="380"/>
      <c r="BA767" s="380"/>
      <c r="BB767" s="380"/>
      <c r="BC767" s="380"/>
      <c r="BD767" s="380"/>
      <c r="BE767" s="380"/>
      <c r="BF767" s="380"/>
      <c r="BG767" s="380"/>
      <c r="BH767" s="380"/>
      <c r="BI767" s="511"/>
      <c r="BJ767" s="380"/>
      <c r="BK767" s="380"/>
      <c r="BL767" s="380"/>
      <c r="BM767" s="380"/>
      <c r="BN767" s="380"/>
      <c r="BO767" s="380"/>
      <c r="BP767" s="380"/>
      <c r="BQ767" s="380"/>
      <c r="BR767" s="380"/>
    </row>
    <row r="768" spans="1:70" ht="12.75" customHeight="1" x14ac:dyDescent="0.25">
      <c r="A768" s="380"/>
      <c r="B768" s="380"/>
      <c r="C768" s="380"/>
      <c r="D768" s="380"/>
      <c r="E768" s="511"/>
      <c r="F768" s="511"/>
      <c r="G768" s="582"/>
      <c r="H768" s="511"/>
      <c r="I768" s="511"/>
      <c r="J768" s="582"/>
      <c r="K768" s="511"/>
      <c r="L768" s="511"/>
      <c r="M768" s="582"/>
      <c r="N768" s="582"/>
      <c r="O768" s="582"/>
      <c r="P768" s="582"/>
      <c r="Q768" s="511"/>
      <c r="R768" s="511"/>
      <c r="S768" s="511"/>
      <c r="T768" s="639"/>
      <c r="U768" s="511"/>
      <c r="V768" s="511"/>
      <c r="W768" s="511"/>
      <c r="X768" s="511"/>
      <c r="Y768" s="380"/>
      <c r="Z768" s="380"/>
      <c r="AA768" s="380"/>
      <c r="AB768" s="380"/>
      <c r="AC768" s="380"/>
      <c r="AD768" s="671"/>
      <c r="AE768" s="380"/>
      <c r="AF768" s="380"/>
      <c r="AG768" s="380"/>
      <c r="AH768" s="671"/>
      <c r="AI768" s="380"/>
      <c r="AJ768" s="583"/>
      <c r="AK768" s="583"/>
      <c r="AL768" s="511"/>
      <c r="AM768" s="584"/>
      <c r="AN768" s="584"/>
      <c r="AO768" s="584"/>
      <c r="AP768" s="671"/>
      <c r="AQ768" s="584"/>
      <c r="AR768" s="583"/>
      <c r="AS768" s="583"/>
      <c r="AT768" s="585"/>
      <c r="AU768" s="585"/>
      <c r="AV768" s="585"/>
      <c r="AW768" s="585"/>
      <c r="AX768" s="673"/>
      <c r="AY768" s="380"/>
      <c r="AZ768" s="380"/>
      <c r="BA768" s="380"/>
      <c r="BB768" s="380"/>
      <c r="BC768" s="380"/>
      <c r="BD768" s="380"/>
      <c r="BE768" s="380"/>
      <c r="BF768" s="380"/>
      <c r="BG768" s="380"/>
      <c r="BH768" s="380"/>
      <c r="BI768" s="511"/>
      <c r="BJ768" s="380"/>
      <c r="BK768" s="380"/>
      <c r="BL768" s="380"/>
      <c r="BM768" s="380"/>
      <c r="BN768" s="380"/>
      <c r="BO768" s="380"/>
      <c r="BP768" s="380"/>
      <c r="BQ768" s="380"/>
      <c r="BR768" s="380"/>
    </row>
    <row r="769" spans="1:70" ht="12.75" customHeight="1" x14ac:dyDescent="0.25">
      <c r="A769" s="380"/>
      <c r="B769" s="380"/>
      <c r="C769" s="380"/>
      <c r="D769" s="380"/>
      <c r="E769" s="511"/>
      <c r="F769" s="511"/>
      <c r="G769" s="582"/>
      <c r="H769" s="511"/>
      <c r="I769" s="511"/>
      <c r="J769" s="582"/>
      <c r="K769" s="511"/>
      <c r="L769" s="511"/>
      <c r="M769" s="582"/>
      <c r="N769" s="582"/>
      <c r="O769" s="582"/>
      <c r="P769" s="582"/>
      <c r="Q769" s="511"/>
      <c r="R769" s="511"/>
      <c r="S769" s="511"/>
      <c r="T769" s="639"/>
      <c r="U769" s="511"/>
      <c r="V769" s="511"/>
      <c r="W769" s="511"/>
      <c r="X769" s="511"/>
      <c r="Y769" s="380"/>
      <c r="Z769" s="380"/>
      <c r="AA769" s="380"/>
      <c r="AB769" s="380"/>
      <c r="AC769" s="380"/>
      <c r="AD769" s="671"/>
      <c r="AE769" s="380"/>
      <c r="AF769" s="380"/>
      <c r="AG769" s="380"/>
      <c r="AH769" s="671"/>
      <c r="AI769" s="380"/>
      <c r="AJ769" s="583"/>
      <c r="AK769" s="583"/>
      <c r="AL769" s="511"/>
      <c r="AM769" s="584"/>
      <c r="AN769" s="584"/>
      <c r="AO769" s="584"/>
      <c r="AP769" s="671"/>
      <c r="AQ769" s="584"/>
      <c r="AR769" s="583"/>
      <c r="AS769" s="583"/>
      <c r="AT769" s="585"/>
      <c r="AU769" s="585"/>
      <c r="AV769" s="585"/>
      <c r="AW769" s="585"/>
      <c r="AX769" s="673"/>
      <c r="AY769" s="380"/>
      <c r="AZ769" s="380"/>
      <c r="BA769" s="380"/>
      <c r="BB769" s="380"/>
      <c r="BC769" s="380"/>
      <c r="BD769" s="380"/>
      <c r="BE769" s="380"/>
      <c r="BF769" s="380"/>
      <c r="BG769" s="380"/>
      <c r="BH769" s="380"/>
      <c r="BI769" s="511"/>
      <c r="BJ769" s="380"/>
      <c r="BK769" s="380"/>
      <c r="BL769" s="380"/>
      <c r="BM769" s="380"/>
      <c r="BN769" s="380"/>
      <c r="BO769" s="380"/>
      <c r="BP769" s="380"/>
      <c r="BQ769" s="380"/>
      <c r="BR769" s="380"/>
    </row>
    <row r="770" spans="1:70" ht="12.75" customHeight="1" x14ac:dyDescent="0.25">
      <c r="A770" s="380"/>
      <c r="B770" s="380"/>
      <c r="C770" s="380"/>
      <c r="D770" s="380"/>
      <c r="E770" s="511"/>
      <c r="F770" s="511"/>
      <c r="G770" s="582"/>
      <c r="H770" s="511"/>
      <c r="I770" s="511"/>
      <c r="J770" s="582"/>
      <c r="K770" s="511"/>
      <c r="L770" s="511"/>
      <c r="M770" s="582"/>
      <c r="N770" s="582"/>
      <c r="O770" s="582"/>
      <c r="P770" s="582"/>
      <c r="Q770" s="511"/>
      <c r="R770" s="511"/>
      <c r="S770" s="511"/>
      <c r="T770" s="639"/>
      <c r="U770" s="511"/>
      <c r="V770" s="511"/>
      <c r="W770" s="511"/>
      <c r="X770" s="511"/>
      <c r="Y770" s="380"/>
      <c r="Z770" s="380"/>
      <c r="AA770" s="380"/>
      <c r="AB770" s="380"/>
      <c r="AC770" s="380"/>
      <c r="AD770" s="671"/>
      <c r="AE770" s="380"/>
      <c r="AF770" s="380"/>
      <c r="AG770" s="380"/>
      <c r="AH770" s="671"/>
      <c r="AI770" s="380"/>
      <c r="AJ770" s="583"/>
      <c r="AK770" s="583"/>
      <c r="AL770" s="511"/>
      <c r="AM770" s="584"/>
      <c r="AN770" s="584"/>
      <c r="AO770" s="584"/>
      <c r="AP770" s="671"/>
      <c r="AQ770" s="584"/>
      <c r="AR770" s="583"/>
      <c r="AS770" s="583"/>
      <c r="AT770" s="585"/>
      <c r="AU770" s="585"/>
      <c r="AV770" s="585"/>
      <c r="AW770" s="585"/>
      <c r="AX770" s="673"/>
      <c r="AY770" s="380"/>
      <c r="AZ770" s="380"/>
      <c r="BA770" s="380"/>
      <c r="BB770" s="380"/>
      <c r="BC770" s="380"/>
      <c r="BD770" s="380"/>
      <c r="BE770" s="380"/>
      <c r="BF770" s="380"/>
      <c r="BG770" s="380"/>
      <c r="BH770" s="380"/>
      <c r="BI770" s="511"/>
      <c r="BJ770" s="380"/>
      <c r="BK770" s="380"/>
      <c r="BL770" s="380"/>
      <c r="BM770" s="380"/>
      <c r="BN770" s="380"/>
      <c r="BO770" s="380"/>
      <c r="BP770" s="380"/>
      <c r="BQ770" s="380"/>
      <c r="BR770" s="380"/>
    </row>
    <row r="771" spans="1:70" ht="12.75" customHeight="1" x14ac:dyDescent="0.25">
      <c r="A771" s="380"/>
      <c r="B771" s="380"/>
      <c r="C771" s="380"/>
      <c r="D771" s="380"/>
      <c r="E771" s="511"/>
      <c r="F771" s="511"/>
      <c r="G771" s="582"/>
      <c r="H771" s="511"/>
      <c r="I771" s="511"/>
      <c r="J771" s="582"/>
      <c r="K771" s="511"/>
      <c r="L771" s="511"/>
      <c r="M771" s="582"/>
      <c r="N771" s="582"/>
      <c r="O771" s="582"/>
      <c r="P771" s="582"/>
      <c r="Q771" s="511"/>
      <c r="R771" s="511"/>
      <c r="S771" s="511"/>
      <c r="T771" s="639"/>
      <c r="U771" s="511"/>
      <c r="V771" s="511"/>
      <c r="W771" s="511"/>
      <c r="X771" s="511"/>
      <c r="Y771" s="380"/>
      <c r="Z771" s="380"/>
      <c r="AA771" s="380"/>
      <c r="AB771" s="380"/>
      <c r="AC771" s="380"/>
      <c r="AD771" s="671"/>
      <c r="AE771" s="380"/>
      <c r="AF771" s="380"/>
      <c r="AG771" s="380"/>
      <c r="AH771" s="671"/>
      <c r="AI771" s="380"/>
      <c r="AJ771" s="583"/>
      <c r="AK771" s="583"/>
      <c r="AL771" s="511"/>
      <c r="AM771" s="584"/>
      <c r="AN771" s="584"/>
      <c r="AO771" s="584"/>
      <c r="AP771" s="671"/>
      <c r="AQ771" s="584"/>
      <c r="AR771" s="583"/>
      <c r="AS771" s="583"/>
      <c r="AT771" s="585"/>
      <c r="AU771" s="585"/>
      <c r="AV771" s="585"/>
      <c r="AW771" s="585"/>
      <c r="AX771" s="673"/>
      <c r="AY771" s="380"/>
      <c r="AZ771" s="380"/>
      <c r="BA771" s="380"/>
      <c r="BB771" s="380"/>
      <c r="BC771" s="380"/>
      <c r="BD771" s="380"/>
      <c r="BE771" s="380"/>
      <c r="BF771" s="380"/>
      <c r="BG771" s="380"/>
      <c r="BH771" s="380"/>
      <c r="BI771" s="511"/>
      <c r="BJ771" s="380"/>
      <c r="BK771" s="380"/>
      <c r="BL771" s="380"/>
      <c r="BM771" s="380"/>
      <c r="BN771" s="380"/>
      <c r="BO771" s="380"/>
      <c r="BP771" s="380"/>
      <c r="BQ771" s="380"/>
      <c r="BR771" s="380"/>
    </row>
    <row r="772" spans="1:70" ht="12.75" customHeight="1" x14ac:dyDescent="0.25">
      <c r="A772" s="380"/>
      <c r="B772" s="380"/>
      <c r="C772" s="380"/>
      <c r="D772" s="380"/>
      <c r="E772" s="511"/>
      <c r="F772" s="511"/>
      <c r="G772" s="582"/>
      <c r="H772" s="511"/>
      <c r="I772" s="511"/>
      <c r="J772" s="582"/>
      <c r="K772" s="511"/>
      <c r="L772" s="511"/>
      <c r="M772" s="582"/>
      <c r="N772" s="582"/>
      <c r="O772" s="582"/>
      <c r="P772" s="582"/>
      <c r="Q772" s="511"/>
      <c r="R772" s="511"/>
      <c r="S772" s="511"/>
      <c r="T772" s="639"/>
      <c r="U772" s="511"/>
      <c r="V772" s="511"/>
      <c r="W772" s="511"/>
      <c r="X772" s="511"/>
      <c r="Y772" s="380"/>
      <c r="Z772" s="380"/>
      <c r="AA772" s="380"/>
      <c r="AB772" s="380"/>
      <c r="AC772" s="380"/>
      <c r="AD772" s="671"/>
      <c r="AE772" s="380"/>
      <c r="AF772" s="380"/>
      <c r="AG772" s="380"/>
      <c r="AH772" s="671"/>
      <c r="AI772" s="380"/>
      <c r="AJ772" s="583"/>
      <c r="AK772" s="583"/>
      <c r="AL772" s="511"/>
      <c r="AM772" s="584"/>
      <c r="AN772" s="584"/>
      <c r="AO772" s="584"/>
      <c r="AP772" s="671"/>
      <c r="AQ772" s="584"/>
      <c r="AR772" s="583"/>
      <c r="AS772" s="583"/>
      <c r="AT772" s="585"/>
      <c r="AU772" s="585"/>
      <c r="AV772" s="585"/>
      <c r="AW772" s="585"/>
      <c r="AX772" s="673"/>
      <c r="AY772" s="380"/>
      <c r="AZ772" s="380"/>
      <c r="BA772" s="380"/>
      <c r="BB772" s="380"/>
      <c r="BC772" s="380"/>
      <c r="BD772" s="380"/>
      <c r="BE772" s="380"/>
      <c r="BF772" s="380"/>
      <c r="BG772" s="380"/>
      <c r="BH772" s="380"/>
      <c r="BI772" s="511"/>
      <c r="BJ772" s="380"/>
      <c r="BK772" s="380"/>
      <c r="BL772" s="380"/>
      <c r="BM772" s="380"/>
      <c r="BN772" s="380"/>
      <c r="BO772" s="380"/>
      <c r="BP772" s="380"/>
      <c r="BQ772" s="380"/>
      <c r="BR772" s="380"/>
    </row>
    <row r="773" spans="1:70" ht="12.75" customHeight="1" x14ac:dyDescent="0.25">
      <c r="A773" s="380"/>
      <c r="B773" s="380"/>
      <c r="C773" s="380"/>
      <c r="D773" s="380"/>
      <c r="E773" s="511"/>
      <c r="F773" s="511"/>
      <c r="G773" s="582"/>
      <c r="H773" s="511"/>
      <c r="I773" s="511"/>
      <c r="J773" s="582"/>
      <c r="K773" s="511"/>
      <c r="L773" s="511"/>
      <c r="M773" s="582"/>
      <c r="N773" s="582"/>
      <c r="O773" s="582"/>
      <c r="P773" s="582"/>
      <c r="Q773" s="511"/>
      <c r="R773" s="511"/>
      <c r="S773" s="511"/>
      <c r="T773" s="639"/>
      <c r="U773" s="511"/>
      <c r="V773" s="511"/>
      <c r="W773" s="511"/>
      <c r="X773" s="511"/>
      <c r="Y773" s="380"/>
      <c r="Z773" s="380"/>
      <c r="AA773" s="380"/>
      <c r="AB773" s="380"/>
      <c r="AC773" s="380"/>
      <c r="AD773" s="671"/>
      <c r="AE773" s="380"/>
      <c r="AF773" s="380"/>
      <c r="AG773" s="380"/>
      <c r="AH773" s="671"/>
      <c r="AI773" s="380"/>
      <c r="AJ773" s="583"/>
      <c r="AK773" s="583"/>
      <c r="AL773" s="511"/>
      <c r="AM773" s="584"/>
      <c r="AN773" s="584"/>
      <c r="AO773" s="584"/>
      <c r="AP773" s="671"/>
      <c r="AQ773" s="584"/>
      <c r="AR773" s="583"/>
      <c r="AS773" s="583"/>
      <c r="AT773" s="585"/>
      <c r="AU773" s="585"/>
      <c r="AV773" s="585"/>
      <c r="AW773" s="585"/>
      <c r="AX773" s="673"/>
      <c r="AY773" s="380"/>
      <c r="AZ773" s="380"/>
      <c r="BA773" s="380"/>
      <c r="BB773" s="380"/>
      <c r="BC773" s="380"/>
      <c r="BD773" s="380"/>
      <c r="BE773" s="380"/>
      <c r="BF773" s="380"/>
      <c r="BG773" s="380"/>
      <c r="BH773" s="380"/>
      <c r="BI773" s="511"/>
      <c r="BJ773" s="380"/>
      <c r="BK773" s="380"/>
      <c r="BL773" s="380"/>
      <c r="BM773" s="380"/>
      <c r="BN773" s="380"/>
      <c r="BO773" s="380"/>
      <c r="BP773" s="380"/>
      <c r="BQ773" s="380"/>
      <c r="BR773" s="380"/>
    </row>
    <row r="774" spans="1:70" ht="12.75" customHeight="1" x14ac:dyDescent="0.25">
      <c r="A774" s="380"/>
      <c r="B774" s="380"/>
      <c r="C774" s="380"/>
      <c r="D774" s="380"/>
      <c r="E774" s="511"/>
      <c r="F774" s="511"/>
      <c r="G774" s="582"/>
      <c r="H774" s="511"/>
      <c r="I774" s="511"/>
      <c r="J774" s="582"/>
      <c r="K774" s="511"/>
      <c r="L774" s="511"/>
      <c r="M774" s="582"/>
      <c r="N774" s="582"/>
      <c r="O774" s="582"/>
      <c r="P774" s="582"/>
      <c r="Q774" s="511"/>
      <c r="R774" s="511"/>
      <c r="S774" s="511"/>
      <c r="T774" s="639"/>
      <c r="U774" s="511"/>
      <c r="V774" s="511"/>
      <c r="W774" s="511"/>
      <c r="X774" s="511"/>
      <c r="Y774" s="380"/>
      <c r="Z774" s="380"/>
      <c r="AA774" s="380"/>
      <c r="AB774" s="380"/>
      <c r="AC774" s="380"/>
      <c r="AD774" s="671"/>
      <c r="AE774" s="380"/>
      <c r="AF774" s="380"/>
      <c r="AG774" s="380"/>
      <c r="AH774" s="671"/>
      <c r="AI774" s="380"/>
      <c r="AJ774" s="583"/>
      <c r="AK774" s="583"/>
      <c r="AL774" s="511"/>
      <c r="AM774" s="584"/>
      <c r="AN774" s="584"/>
      <c r="AO774" s="584"/>
      <c r="AP774" s="671"/>
      <c r="AQ774" s="584"/>
      <c r="AR774" s="583"/>
      <c r="AS774" s="583"/>
      <c r="AT774" s="585"/>
      <c r="AU774" s="585"/>
      <c r="AV774" s="585"/>
      <c r="AW774" s="585"/>
      <c r="AX774" s="673"/>
      <c r="AY774" s="380"/>
      <c r="AZ774" s="380"/>
      <c r="BA774" s="380"/>
      <c r="BB774" s="380"/>
      <c r="BC774" s="380"/>
      <c r="BD774" s="380"/>
      <c r="BE774" s="380"/>
      <c r="BF774" s="380"/>
      <c r="BG774" s="380"/>
      <c r="BH774" s="380"/>
      <c r="BI774" s="511"/>
      <c r="BJ774" s="380"/>
      <c r="BK774" s="380"/>
      <c r="BL774" s="380"/>
      <c r="BM774" s="380"/>
      <c r="BN774" s="380"/>
      <c r="BO774" s="380"/>
      <c r="BP774" s="380"/>
      <c r="BQ774" s="380"/>
      <c r="BR774" s="380"/>
    </row>
    <row r="775" spans="1:70" ht="12.75" customHeight="1" x14ac:dyDescent="0.25">
      <c r="A775" s="380"/>
      <c r="B775" s="380"/>
      <c r="C775" s="380"/>
      <c r="D775" s="380"/>
      <c r="E775" s="511"/>
      <c r="F775" s="511"/>
      <c r="G775" s="582"/>
      <c r="H775" s="511"/>
      <c r="I775" s="511"/>
      <c r="J775" s="582"/>
      <c r="K775" s="511"/>
      <c r="L775" s="511"/>
      <c r="M775" s="582"/>
      <c r="N775" s="582"/>
      <c r="O775" s="582"/>
      <c r="P775" s="582"/>
      <c r="Q775" s="511"/>
      <c r="R775" s="511"/>
      <c r="S775" s="511"/>
      <c r="T775" s="639"/>
      <c r="U775" s="511"/>
      <c r="V775" s="511"/>
      <c r="W775" s="511"/>
      <c r="X775" s="511"/>
      <c r="Y775" s="380"/>
      <c r="Z775" s="380"/>
      <c r="AA775" s="380"/>
      <c r="AB775" s="380"/>
      <c r="AC775" s="380"/>
      <c r="AD775" s="671"/>
      <c r="AE775" s="380"/>
      <c r="AF775" s="380"/>
      <c r="AG775" s="380"/>
      <c r="AH775" s="671"/>
      <c r="AI775" s="380"/>
      <c r="AJ775" s="583"/>
      <c r="AK775" s="583"/>
      <c r="AL775" s="511"/>
      <c r="AM775" s="584"/>
      <c r="AN775" s="584"/>
      <c r="AO775" s="584"/>
      <c r="AP775" s="671"/>
      <c r="AQ775" s="584"/>
      <c r="AR775" s="583"/>
      <c r="AS775" s="583"/>
      <c r="AT775" s="585"/>
      <c r="AU775" s="585"/>
      <c r="AV775" s="585"/>
      <c r="AW775" s="585"/>
      <c r="AX775" s="673"/>
      <c r="AY775" s="380"/>
      <c r="AZ775" s="380"/>
      <c r="BA775" s="380"/>
      <c r="BB775" s="380"/>
      <c r="BC775" s="380"/>
      <c r="BD775" s="380"/>
      <c r="BE775" s="380"/>
      <c r="BF775" s="380"/>
      <c r="BG775" s="380"/>
      <c r="BH775" s="380"/>
      <c r="BI775" s="511"/>
      <c r="BJ775" s="380"/>
      <c r="BK775" s="380"/>
      <c r="BL775" s="380"/>
      <c r="BM775" s="380"/>
      <c r="BN775" s="380"/>
      <c r="BO775" s="380"/>
      <c r="BP775" s="380"/>
      <c r="BQ775" s="380"/>
      <c r="BR775" s="380"/>
    </row>
    <row r="776" spans="1:70" ht="12.75" customHeight="1" x14ac:dyDescent="0.25">
      <c r="A776" s="380"/>
      <c r="B776" s="380"/>
      <c r="C776" s="380"/>
      <c r="D776" s="380"/>
      <c r="E776" s="511"/>
      <c r="F776" s="511"/>
      <c r="G776" s="582"/>
      <c r="H776" s="511"/>
      <c r="I776" s="511"/>
      <c r="J776" s="582"/>
      <c r="K776" s="511"/>
      <c r="L776" s="511"/>
      <c r="M776" s="582"/>
      <c r="N776" s="582"/>
      <c r="O776" s="582"/>
      <c r="P776" s="582"/>
      <c r="Q776" s="511"/>
      <c r="R776" s="511"/>
      <c r="S776" s="511"/>
      <c r="T776" s="639"/>
      <c r="U776" s="511"/>
      <c r="V776" s="511"/>
      <c r="W776" s="511"/>
      <c r="X776" s="511"/>
      <c r="Y776" s="380"/>
      <c r="Z776" s="380"/>
      <c r="AA776" s="380"/>
      <c r="AB776" s="380"/>
      <c r="AC776" s="380"/>
      <c r="AD776" s="671"/>
      <c r="AE776" s="380"/>
      <c r="AF776" s="380"/>
      <c r="AG776" s="380"/>
      <c r="AH776" s="671"/>
      <c r="AI776" s="380"/>
      <c r="AJ776" s="583"/>
      <c r="AK776" s="583"/>
      <c r="AL776" s="511"/>
      <c r="AM776" s="584"/>
      <c r="AN776" s="584"/>
      <c r="AO776" s="584"/>
      <c r="AP776" s="671"/>
      <c r="AQ776" s="584"/>
      <c r="AR776" s="583"/>
      <c r="AS776" s="583"/>
      <c r="AT776" s="585"/>
      <c r="AU776" s="585"/>
      <c r="AV776" s="585"/>
      <c r="AW776" s="585"/>
      <c r="AX776" s="673"/>
      <c r="AY776" s="380"/>
      <c r="AZ776" s="380"/>
      <c r="BA776" s="380"/>
      <c r="BB776" s="380"/>
      <c r="BC776" s="380"/>
      <c r="BD776" s="380"/>
      <c r="BE776" s="380"/>
      <c r="BF776" s="380"/>
      <c r="BG776" s="380"/>
      <c r="BH776" s="380"/>
      <c r="BI776" s="511"/>
      <c r="BJ776" s="380"/>
      <c r="BK776" s="380"/>
      <c r="BL776" s="380"/>
      <c r="BM776" s="380"/>
      <c r="BN776" s="380"/>
      <c r="BO776" s="380"/>
      <c r="BP776" s="380"/>
      <c r="BQ776" s="380"/>
      <c r="BR776" s="380"/>
    </row>
    <row r="777" spans="1:70" ht="12.75" customHeight="1" x14ac:dyDescent="0.25">
      <c r="A777" s="380"/>
      <c r="B777" s="380"/>
      <c r="C777" s="380"/>
      <c r="D777" s="380"/>
      <c r="E777" s="511"/>
      <c r="F777" s="511"/>
      <c r="G777" s="582"/>
      <c r="H777" s="511"/>
      <c r="I777" s="511"/>
      <c r="J777" s="582"/>
      <c r="K777" s="511"/>
      <c r="L777" s="511"/>
      <c r="M777" s="582"/>
      <c r="N777" s="582"/>
      <c r="O777" s="582"/>
      <c r="P777" s="582"/>
      <c r="Q777" s="511"/>
      <c r="R777" s="511"/>
      <c r="S777" s="511"/>
      <c r="T777" s="639"/>
      <c r="U777" s="511"/>
      <c r="V777" s="511"/>
      <c r="W777" s="511"/>
      <c r="X777" s="511"/>
      <c r="Y777" s="380"/>
      <c r="Z777" s="380"/>
      <c r="AA777" s="380"/>
      <c r="AB777" s="380"/>
      <c r="AC777" s="380"/>
      <c r="AD777" s="671"/>
      <c r="AE777" s="380"/>
      <c r="AF777" s="380"/>
      <c r="AG777" s="380"/>
      <c r="AH777" s="671"/>
      <c r="AI777" s="380"/>
      <c r="AJ777" s="583"/>
      <c r="AK777" s="583"/>
      <c r="AL777" s="511"/>
      <c r="AM777" s="584"/>
      <c r="AN777" s="584"/>
      <c r="AO777" s="584"/>
      <c r="AP777" s="671"/>
      <c r="AQ777" s="584"/>
      <c r="AR777" s="583"/>
      <c r="AS777" s="583"/>
      <c r="AT777" s="585"/>
      <c r="AU777" s="585"/>
      <c r="AV777" s="585"/>
      <c r="AW777" s="585"/>
      <c r="AX777" s="673"/>
      <c r="AY777" s="380"/>
      <c r="AZ777" s="380"/>
      <c r="BA777" s="380"/>
      <c r="BB777" s="380"/>
      <c r="BC777" s="380"/>
      <c r="BD777" s="380"/>
      <c r="BE777" s="380"/>
      <c r="BF777" s="380"/>
      <c r="BG777" s="380"/>
      <c r="BH777" s="380"/>
      <c r="BI777" s="511"/>
      <c r="BJ777" s="380"/>
      <c r="BK777" s="380"/>
      <c r="BL777" s="380"/>
      <c r="BM777" s="380"/>
      <c r="BN777" s="380"/>
      <c r="BO777" s="380"/>
      <c r="BP777" s="380"/>
      <c r="BQ777" s="380"/>
      <c r="BR777" s="380"/>
    </row>
    <row r="778" spans="1:70" ht="12.75" customHeight="1" x14ac:dyDescent="0.25">
      <c r="A778" s="380"/>
      <c r="B778" s="380"/>
      <c r="C778" s="380"/>
      <c r="D778" s="380"/>
      <c r="E778" s="511"/>
      <c r="F778" s="511"/>
      <c r="G778" s="582"/>
      <c r="H778" s="511"/>
      <c r="I778" s="511"/>
      <c r="J778" s="582"/>
      <c r="K778" s="511"/>
      <c r="L778" s="511"/>
      <c r="M778" s="582"/>
      <c r="N778" s="582"/>
      <c r="O778" s="582"/>
      <c r="P778" s="582"/>
      <c r="Q778" s="511"/>
      <c r="R778" s="511"/>
      <c r="S778" s="511"/>
      <c r="T778" s="639"/>
      <c r="U778" s="511"/>
      <c r="V778" s="511"/>
      <c r="W778" s="511"/>
      <c r="X778" s="511"/>
      <c r="Y778" s="380"/>
      <c r="Z778" s="380"/>
      <c r="AA778" s="380"/>
      <c r="AB778" s="380"/>
      <c r="AC778" s="380"/>
      <c r="AD778" s="671"/>
      <c r="AE778" s="380"/>
      <c r="AF778" s="380"/>
      <c r="AG778" s="380"/>
      <c r="AH778" s="671"/>
      <c r="AI778" s="380"/>
      <c r="AJ778" s="583"/>
      <c r="AK778" s="583"/>
      <c r="AL778" s="511"/>
      <c r="AM778" s="584"/>
      <c r="AN778" s="584"/>
      <c r="AO778" s="584"/>
      <c r="AP778" s="671"/>
      <c r="AQ778" s="584"/>
      <c r="AR778" s="583"/>
      <c r="AS778" s="583"/>
      <c r="AT778" s="585"/>
      <c r="AU778" s="585"/>
      <c r="AV778" s="585"/>
      <c r="AW778" s="585"/>
      <c r="AX778" s="673"/>
      <c r="AY778" s="380"/>
      <c r="AZ778" s="380"/>
      <c r="BA778" s="380"/>
      <c r="BB778" s="380"/>
      <c r="BC778" s="380"/>
      <c r="BD778" s="380"/>
      <c r="BE778" s="380"/>
      <c r="BF778" s="380"/>
      <c r="BG778" s="380"/>
      <c r="BH778" s="380"/>
      <c r="BI778" s="511"/>
      <c r="BJ778" s="380"/>
      <c r="BK778" s="380"/>
      <c r="BL778" s="380"/>
      <c r="BM778" s="380"/>
      <c r="BN778" s="380"/>
      <c r="BO778" s="380"/>
      <c r="BP778" s="380"/>
      <c r="BQ778" s="380"/>
      <c r="BR778" s="380"/>
    </row>
    <row r="779" spans="1:70" ht="12.75" customHeight="1" x14ac:dyDescent="0.25">
      <c r="A779" s="380"/>
      <c r="B779" s="380"/>
      <c r="C779" s="380"/>
      <c r="D779" s="380"/>
      <c r="E779" s="511"/>
      <c r="F779" s="511"/>
      <c r="G779" s="582"/>
      <c r="H779" s="511"/>
      <c r="I779" s="511"/>
      <c r="J779" s="582"/>
      <c r="K779" s="511"/>
      <c r="L779" s="511"/>
      <c r="M779" s="582"/>
      <c r="N779" s="582"/>
      <c r="O779" s="582"/>
      <c r="P779" s="582"/>
      <c r="Q779" s="511"/>
      <c r="R779" s="511"/>
      <c r="S779" s="511"/>
      <c r="T779" s="639"/>
      <c r="U779" s="511"/>
      <c r="V779" s="511"/>
      <c r="W779" s="511"/>
      <c r="X779" s="511"/>
      <c r="Y779" s="380"/>
      <c r="Z779" s="380"/>
      <c r="AA779" s="380"/>
      <c r="AB779" s="380"/>
      <c r="AC779" s="380"/>
      <c r="AD779" s="671"/>
      <c r="AE779" s="380"/>
      <c r="AF779" s="380"/>
      <c r="AG779" s="380"/>
      <c r="AH779" s="671"/>
      <c r="AI779" s="380"/>
      <c r="AJ779" s="583"/>
      <c r="AK779" s="583"/>
      <c r="AL779" s="511"/>
      <c r="AM779" s="584"/>
      <c r="AN779" s="584"/>
      <c r="AO779" s="584"/>
      <c r="AP779" s="671"/>
      <c r="AQ779" s="584"/>
      <c r="AR779" s="583"/>
      <c r="AS779" s="583"/>
      <c r="AT779" s="585"/>
      <c r="AU779" s="585"/>
      <c r="AV779" s="585"/>
      <c r="AW779" s="585"/>
      <c r="AX779" s="673"/>
      <c r="AY779" s="380"/>
      <c r="AZ779" s="380"/>
      <c r="BA779" s="380"/>
      <c r="BB779" s="380"/>
      <c r="BC779" s="380"/>
      <c r="BD779" s="380"/>
      <c r="BE779" s="380"/>
      <c r="BF779" s="380"/>
      <c r="BG779" s="380"/>
      <c r="BH779" s="380"/>
      <c r="BI779" s="511"/>
      <c r="BJ779" s="380"/>
      <c r="BK779" s="380"/>
      <c r="BL779" s="380"/>
      <c r="BM779" s="380"/>
      <c r="BN779" s="380"/>
      <c r="BO779" s="380"/>
      <c r="BP779" s="380"/>
      <c r="BQ779" s="380"/>
      <c r="BR779" s="380"/>
    </row>
    <row r="780" spans="1:70" ht="12.75" customHeight="1" x14ac:dyDescent="0.25">
      <c r="A780" s="380"/>
      <c r="B780" s="380"/>
      <c r="C780" s="380"/>
      <c r="D780" s="380"/>
      <c r="E780" s="511"/>
      <c r="F780" s="511"/>
      <c r="G780" s="582"/>
      <c r="H780" s="511"/>
      <c r="I780" s="511"/>
      <c r="J780" s="582"/>
      <c r="K780" s="511"/>
      <c r="L780" s="511"/>
      <c r="M780" s="582"/>
      <c r="N780" s="582"/>
      <c r="O780" s="582"/>
      <c r="P780" s="582"/>
      <c r="Q780" s="511"/>
      <c r="R780" s="511"/>
      <c r="S780" s="511"/>
      <c r="T780" s="639"/>
      <c r="U780" s="511"/>
      <c r="V780" s="511"/>
      <c r="W780" s="511"/>
      <c r="X780" s="511"/>
      <c r="Y780" s="380"/>
      <c r="Z780" s="380"/>
      <c r="AA780" s="380"/>
      <c r="AB780" s="380"/>
      <c r="AC780" s="380"/>
      <c r="AD780" s="671"/>
      <c r="AE780" s="380"/>
      <c r="AF780" s="380"/>
      <c r="AG780" s="380"/>
      <c r="AH780" s="671"/>
      <c r="AI780" s="380"/>
      <c r="AJ780" s="583"/>
      <c r="AK780" s="583"/>
      <c r="AL780" s="511"/>
      <c r="AM780" s="584"/>
      <c r="AN780" s="584"/>
      <c r="AO780" s="584"/>
      <c r="AP780" s="671"/>
      <c r="AQ780" s="584"/>
      <c r="AR780" s="583"/>
      <c r="AS780" s="583"/>
      <c r="AT780" s="585"/>
      <c r="AU780" s="585"/>
      <c r="AV780" s="585"/>
      <c r="AW780" s="585"/>
      <c r="AX780" s="673"/>
      <c r="AY780" s="380"/>
      <c r="AZ780" s="380"/>
      <c r="BA780" s="380"/>
      <c r="BB780" s="380"/>
      <c r="BC780" s="380"/>
      <c r="BD780" s="380"/>
      <c r="BE780" s="380"/>
      <c r="BF780" s="380"/>
      <c r="BG780" s="380"/>
      <c r="BH780" s="380"/>
      <c r="BI780" s="511"/>
      <c r="BJ780" s="380"/>
      <c r="BK780" s="380"/>
      <c r="BL780" s="380"/>
      <c r="BM780" s="380"/>
      <c r="BN780" s="380"/>
      <c r="BO780" s="380"/>
      <c r="BP780" s="380"/>
      <c r="BQ780" s="380"/>
      <c r="BR780" s="380"/>
    </row>
    <row r="781" spans="1:70" ht="12.75" customHeight="1" x14ac:dyDescent="0.25">
      <c r="A781" s="380"/>
      <c r="B781" s="380"/>
      <c r="C781" s="380"/>
      <c r="D781" s="380"/>
      <c r="E781" s="511"/>
      <c r="F781" s="511"/>
      <c r="G781" s="582"/>
      <c r="H781" s="511"/>
      <c r="I781" s="511"/>
      <c r="J781" s="582"/>
      <c r="K781" s="511"/>
      <c r="L781" s="511"/>
      <c r="M781" s="582"/>
      <c r="N781" s="582"/>
      <c r="O781" s="582"/>
      <c r="P781" s="582"/>
      <c r="Q781" s="511"/>
      <c r="R781" s="511"/>
      <c r="S781" s="511"/>
      <c r="T781" s="639"/>
      <c r="U781" s="511"/>
      <c r="V781" s="511"/>
      <c r="W781" s="511"/>
      <c r="X781" s="511"/>
      <c r="Y781" s="380"/>
      <c r="Z781" s="380"/>
      <c r="AA781" s="380"/>
      <c r="AB781" s="380"/>
      <c r="AC781" s="380"/>
      <c r="AD781" s="671"/>
      <c r="AE781" s="380"/>
      <c r="AF781" s="380"/>
      <c r="AG781" s="380"/>
      <c r="AH781" s="671"/>
      <c r="AI781" s="380"/>
      <c r="AJ781" s="583"/>
      <c r="AK781" s="583"/>
      <c r="AL781" s="511"/>
      <c r="AM781" s="584"/>
      <c r="AN781" s="584"/>
      <c r="AO781" s="584"/>
      <c r="AP781" s="671"/>
      <c r="AQ781" s="584"/>
      <c r="AR781" s="583"/>
      <c r="AS781" s="583"/>
      <c r="AT781" s="585"/>
      <c r="AU781" s="585"/>
      <c r="AV781" s="585"/>
      <c r="AW781" s="585"/>
      <c r="AX781" s="673"/>
      <c r="AY781" s="380"/>
      <c r="AZ781" s="380"/>
      <c r="BA781" s="380"/>
      <c r="BB781" s="380"/>
      <c r="BC781" s="380"/>
      <c r="BD781" s="380"/>
      <c r="BE781" s="380"/>
      <c r="BF781" s="380"/>
      <c r="BG781" s="380"/>
      <c r="BH781" s="380"/>
      <c r="BI781" s="511"/>
      <c r="BJ781" s="380"/>
      <c r="BK781" s="380"/>
      <c r="BL781" s="380"/>
      <c r="BM781" s="380"/>
      <c r="BN781" s="380"/>
      <c r="BO781" s="380"/>
      <c r="BP781" s="380"/>
      <c r="BQ781" s="380"/>
      <c r="BR781" s="380"/>
    </row>
    <row r="782" spans="1:70" ht="12.75" customHeight="1" x14ac:dyDescent="0.25">
      <c r="A782" s="380"/>
      <c r="B782" s="380"/>
      <c r="C782" s="380"/>
      <c r="D782" s="380"/>
      <c r="E782" s="511"/>
      <c r="F782" s="511"/>
      <c r="G782" s="582"/>
      <c r="H782" s="511"/>
      <c r="I782" s="511"/>
      <c r="J782" s="582"/>
      <c r="K782" s="511"/>
      <c r="L782" s="511"/>
      <c r="M782" s="582"/>
      <c r="N782" s="582"/>
      <c r="O782" s="582"/>
      <c r="P782" s="582"/>
      <c r="Q782" s="511"/>
      <c r="R782" s="511"/>
      <c r="S782" s="511"/>
      <c r="T782" s="639"/>
      <c r="U782" s="511"/>
      <c r="V782" s="511"/>
      <c r="W782" s="511"/>
      <c r="X782" s="511"/>
      <c r="Y782" s="380"/>
      <c r="Z782" s="380"/>
      <c r="AA782" s="380"/>
      <c r="AB782" s="380"/>
      <c r="AC782" s="380"/>
      <c r="AD782" s="671"/>
      <c r="AE782" s="380"/>
      <c r="AF782" s="380"/>
      <c r="AG782" s="380"/>
      <c r="AH782" s="671"/>
      <c r="AI782" s="380"/>
      <c r="AJ782" s="583"/>
      <c r="AK782" s="583"/>
      <c r="AL782" s="511"/>
      <c r="AM782" s="584"/>
      <c r="AN782" s="584"/>
      <c r="AO782" s="584"/>
      <c r="AP782" s="671"/>
      <c r="AQ782" s="584"/>
      <c r="AR782" s="583"/>
      <c r="AS782" s="583"/>
      <c r="AT782" s="585"/>
      <c r="AU782" s="585"/>
      <c r="AV782" s="585"/>
      <c r="AW782" s="585"/>
      <c r="AX782" s="673"/>
      <c r="AY782" s="380"/>
      <c r="AZ782" s="380"/>
      <c r="BA782" s="380"/>
      <c r="BB782" s="380"/>
      <c r="BC782" s="380"/>
      <c r="BD782" s="380"/>
      <c r="BE782" s="380"/>
      <c r="BF782" s="380"/>
      <c r="BG782" s="380"/>
      <c r="BH782" s="380"/>
      <c r="BI782" s="511"/>
      <c r="BJ782" s="380"/>
      <c r="BK782" s="380"/>
      <c r="BL782" s="380"/>
      <c r="BM782" s="380"/>
      <c r="BN782" s="380"/>
      <c r="BO782" s="380"/>
      <c r="BP782" s="380"/>
      <c r="BQ782" s="380"/>
      <c r="BR782" s="380"/>
    </row>
    <row r="783" spans="1:70" ht="12.75" customHeight="1" x14ac:dyDescent="0.25">
      <c r="A783" s="380"/>
      <c r="B783" s="380"/>
      <c r="C783" s="380"/>
      <c r="D783" s="380"/>
      <c r="E783" s="511"/>
      <c r="F783" s="511"/>
      <c r="G783" s="582"/>
      <c r="H783" s="511"/>
      <c r="I783" s="511"/>
      <c r="J783" s="582"/>
      <c r="K783" s="511"/>
      <c r="L783" s="511"/>
      <c r="M783" s="582"/>
      <c r="N783" s="582"/>
      <c r="O783" s="582"/>
      <c r="P783" s="582"/>
      <c r="Q783" s="511"/>
      <c r="R783" s="511"/>
      <c r="S783" s="511"/>
      <c r="T783" s="639"/>
      <c r="U783" s="511"/>
      <c r="V783" s="511"/>
      <c r="W783" s="511"/>
      <c r="X783" s="511"/>
      <c r="Y783" s="380"/>
      <c r="Z783" s="380"/>
      <c r="AA783" s="380"/>
      <c r="AB783" s="380"/>
      <c r="AC783" s="380"/>
      <c r="AD783" s="671"/>
      <c r="AE783" s="380"/>
      <c r="AF783" s="380"/>
      <c r="AG783" s="380"/>
      <c r="AH783" s="671"/>
      <c r="AI783" s="380"/>
      <c r="AJ783" s="583"/>
      <c r="AK783" s="583"/>
      <c r="AL783" s="511"/>
      <c r="AM783" s="584"/>
      <c r="AN783" s="584"/>
      <c r="AO783" s="584"/>
      <c r="AP783" s="671"/>
      <c r="AQ783" s="584"/>
      <c r="AR783" s="583"/>
      <c r="AS783" s="583"/>
      <c r="AT783" s="585"/>
      <c r="AU783" s="585"/>
      <c r="AV783" s="585"/>
      <c r="AW783" s="585"/>
      <c r="AX783" s="673"/>
      <c r="AY783" s="380"/>
      <c r="AZ783" s="380"/>
      <c r="BA783" s="380"/>
      <c r="BB783" s="380"/>
      <c r="BC783" s="380"/>
      <c r="BD783" s="380"/>
      <c r="BE783" s="380"/>
      <c r="BF783" s="380"/>
      <c r="BG783" s="380"/>
      <c r="BH783" s="380"/>
      <c r="BI783" s="511"/>
      <c r="BJ783" s="380"/>
      <c r="BK783" s="380"/>
      <c r="BL783" s="380"/>
      <c r="BM783" s="380"/>
      <c r="BN783" s="380"/>
      <c r="BO783" s="380"/>
      <c r="BP783" s="380"/>
      <c r="BQ783" s="380"/>
      <c r="BR783" s="380"/>
    </row>
    <row r="784" spans="1:70" ht="12.75" customHeight="1" x14ac:dyDescent="0.25">
      <c r="A784" s="380"/>
      <c r="B784" s="380"/>
      <c r="C784" s="380"/>
      <c r="D784" s="380"/>
      <c r="E784" s="511"/>
      <c r="F784" s="511"/>
      <c r="G784" s="582"/>
      <c r="H784" s="511"/>
      <c r="I784" s="511"/>
      <c r="J784" s="582"/>
      <c r="K784" s="511"/>
      <c r="L784" s="511"/>
      <c r="M784" s="582"/>
      <c r="N784" s="582"/>
      <c r="O784" s="582"/>
      <c r="P784" s="582"/>
      <c r="Q784" s="511"/>
      <c r="R784" s="511"/>
      <c r="S784" s="511"/>
      <c r="T784" s="639"/>
      <c r="U784" s="511"/>
      <c r="V784" s="511"/>
      <c r="W784" s="511"/>
      <c r="X784" s="511"/>
      <c r="Y784" s="380"/>
      <c r="Z784" s="380"/>
      <c r="AA784" s="380"/>
      <c r="AB784" s="380"/>
      <c r="AC784" s="380"/>
      <c r="AD784" s="671"/>
      <c r="AE784" s="380"/>
      <c r="AF784" s="380"/>
      <c r="AG784" s="380"/>
      <c r="AH784" s="671"/>
      <c r="AI784" s="380"/>
      <c r="AJ784" s="583"/>
      <c r="AK784" s="583"/>
      <c r="AL784" s="511"/>
      <c r="AM784" s="584"/>
      <c r="AN784" s="584"/>
      <c r="AO784" s="584"/>
      <c r="AP784" s="671"/>
      <c r="AQ784" s="584"/>
      <c r="AR784" s="583"/>
      <c r="AS784" s="583"/>
      <c r="AT784" s="585"/>
      <c r="AU784" s="585"/>
      <c r="AV784" s="585"/>
      <c r="AW784" s="585"/>
      <c r="AX784" s="673"/>
      <c r="AY784" s="380"/>
      <c r="AZ784" s="380"/>
      <c r="BA784" s="380"/>
      <c r="BB784" s="380"/>
      <c r="BC784" s="380"/>
      <c r="BD784" s="380"/>
      <c r="BE784" s="380"/>
      <c r="BF784" s="380"/>
      <c r="BG784" s="380"/>
      <c r="BH784" s="380"/>
      <c r="BI784" s="511"/>
      <c r="BJ784" s="380"/>
      <c r="BK784" s="380"/>
      <c r="BL784" s="380"/>
      <c r="BM784" s="380"/>
      <c r="BN784" s="380"/>
      <c r="BO784" s="380"/>
      <c r="BP784" s="380"/>
      <c r="BQ784" s="380"/>
      <c r="BR784" s="380"/>
    </row>
    <row r="785" spans="1:70" ht="12.75" customHeight="1" x14ac:dyDescent="0.25">
      <c r="A785" s="380"/>
      <c r="B785" s="380"/>
      <c r="C785" s="380"/>
      <c r="D785" s="380"/>
      <c r="E785" s="511"/>
      <c r="F785" s="511"/>
      <c r="G785" s="582"/>
      <c r="H785" s="511"/>
      <c r="I785" s="511"/>
      <c r="J785" s="582"/>
      <c r="K785" s="511"/>
      <c r="L785" s="511"/>
      <c r="M785" s="582"/>
      <c r="N785" s="582"/>
      <c r="O785" s="582"/>
      <c r="P785" s="582"/>
      <c r="Q785" s="511"/>
      <c r="R785" s="511"/>
      <c r="S785" s="511"/>
      <c r="T785" s="639"/>
      <c r="U785" s="511"/>
      <c r="V785" s="511"/>
      <c r="W785" s="511"/>
      <c r="X785" s="511"/>
      <c r="Y785" s="380"/>
      <c r="Z785" s="380"/>
      <c r="AA785" s="380"/>
      <c r="AB785" s="380"/>
      <c r="AC785" s="380"/>
      <c r="AD785" s="671"/>
      <c r="AE785" s="380"/>
      <c r="AF785" s="380"/>
      <c r="AG785" s="380"/>
      <c r="AH785" s="671"/>
      <c r="AI785" s="380"/>
      <c r="AJ785" s="583"/>
      <c r="AK785" s="583"/>
      <c r="AL785" s="511"/>
      <c r="AM785" s="584"/>
      <c r="AN785" s="584"/>
      <c r="AO785" s="584"/>
      <c r="AP785" s="671"/>
      <c r="AQ785" s="584"/>
      <c r="AR785" s="583"/>
      <c r="AS785" s="583"/>
      <c r="AT785" s="585"/>
      <c r="AU785" s="585"/>
      <c r="AV785" s="585"/>
      <c r="AW785" s="585"/>
      <c r="AX785" s="673"/>
      <c r="AY785" s="380"/>
      <c r="AZ785" s="380"/>
      <c r="BA785" s="380"/>
      <c r="BB785" s="380"/>
      <c r="BC785" s="380"/>
      <c r="BD785" s="380"/>
      <c r="BE785" s="380"/>
      <c r="BF785" s="380"/>
      <c r="BG785" s="380"/>
      <c r="BH785" s="380"/>
      <c r="BI785" s="511"/>
      <c r="BJ785" s="380"/>
      <c r="BK785" s="380"/>
      <c r="BL785" s="380"/>
      <c r="BM785" s="380"/>
      <c r="BN785" s="380"/>
      <c r="BO785" s="380"/>
      <c r="BP785" s="380"/>
      <c r="BQ785" s="380"/>
      <c r="BR785" s="380"/>
    </row>
    <row r="786" spans="1:70" ht="12.75" customHeight="1" x14ac:dyDescent="0.25">
      <c r="A786" s="380"/>
      <c r="B786" s="380"/>
      <c r="C786" s="380"/>
      <c r="D786" s="380"/>
      <c r="E786" s="511"/>
      <c r="F786" s="511"/>
      <c r="G786" s="582"/>
      <c r="H786" s="511"/>
      <c r="I786" s="511"/>
      <c r="J786" s="582"/>
      <c r="K786" s="511"/>
      <c r="L786" s="511"/>
      <c r="M786" s="582"/>
      <c r="N786" s="582"/>
      <c r="O786" s="582"/>
      <c r="P786" s="582"/>
      <c r="Q786" s="511"/>
      <c r="R786" s="511"/>
      <c r="S786" s="511"/>
      <c r="T786" s="639"/>
      <c r="U786" s="511"/>
      <c r="V786" s="511"/>
      <c r="W786" s="511"/>
      <c r="X786" s="511"/>
      <c r="Y786" s="380"/>
      <c r="Z786" s="380"/>
      <c r="AA786" s="380"/>
      <c r="AB786" s="380"/>
      <c r="AC786" s="380"/>
      <c r="AD786" s="671"/>
      <c r="AE786" s="380"/>
      <c r="AF786" s="380"/>
      <c r="AG786" s="380"/>
      <c r="AH786" s="671"/>
      <c r="AI786" s="380"/>
      <c r="AJ786" s="583"/>
      <c r="AK786" s="583"/>
      <c r="AL786" s="511"/>
      <c r="AM786" s="584"/>
      <c r="AN786" s="584"/>
      <c r="AO786" s="584"/>
      <c r="AP786" s="671"/>
      <c r="AQ786" s="584"/>
      <c r="AR786" s="583"/>
      <c r="AS786" s="583"/>
      <c r="AT786" s="585"/>
      <c r="AU786" s="585"/>
      <c r="AV786" s="585"/>
      <c r="AW786" s="585"/>
      <c r="AX786" s="673"/>
      <c r="AY786" s="380"/>
      <c r="AZ786" s="380"/>
      <c r="BA786" s="380"/>
      <c r="BB786" s="380"/>
      <c r="BC786" s="380"/>
      <c r="BD786" s="380"/>
      <c r="BE786" s="380"/>
      <c r="BF786" s="380"/>
      <c r="BG786" s="380"/>
      <c r="BH786" s="380"/>
      <c r="BI786" s="511"/>
      <c r="BJ786" s="380"/>
      <c r="BK786" s="380"/>
      <c r="BL786" s="380"/>
      <c r="BM786" s="380"/>
      <c r="BN786" s="380"/>
      <c r="BO786" s="380"/>
      <c r="BP786" s="380"/>
      <c r="BQ786" s="380"/>
      <c r="BR786" s="380"/>
    </row>
    <row r="787" spans="1:70" ht="12.75" customHeight="1" x14ac:dyDescent="0.25">
      <c r="A787" s="380"/>
      <c r="B787" s="380"/>
      <c r="C787" s="380"/>
      <c r="D787" s="380"/>
      <c r="E787" s="511"/>
      <c r="F787" s="511"/>
      <c r="G787" s="582"/>
      <c r="H787" s="511"/>
      <c r="I787" s="511"/>
      <c r="J787" s="582"/>
      <c r="K787" s="511"/>
      <c r="L787" s="511"/>
      <c r="M787" s="582"/>
      <c r="N787" s="582"/>
      <c r="O787" s="582"/>
      <c r="P787" s="582"/>
      <c r="Q787" s="511"/>
      <c r="R787" s="511"/>
      <c r="S787" s="511"/>
      <c r="T787" s="639"/>
      <c r="U787" s="511"/>
      <c r="V787" s="511"/>
      <c r="W787" s="511"/>
      <c r="X787" s="511"/>
      <c r="Y787" s="380"/>
      <c r="Z787" s="380"/>
      <c r="AA787" s="380"/>
      <c r="AB787" s="380"/>
      <c r="AC787" s="380"/>
      <c r="AD787" s="671"/>
      <c r="AE787" s="380"/>
      <c r="AF787" s="380"/>
      <c r="AG787" s="380"/>
      <c r="AH787" s="671"/>
      <c r="AI787" s="380"/>
      <c r="AJ787" s="583"/>
      <c r="AK787" s="583"/>
      <c r="AL787" s="511"/>
      <c r="AM787" s="584"/>
      <c r="AN787" s="584"/>
      <c r="AO787" s="584"/>
      <c r="AP787" s="671"/>
      <c r="AQ787" s="584"/>
      <c r="AR787" s="583"/>
      <c r="AS787" s="583"/>
      <c r="AT787" s="585"/>
      <c r="AU787" s="585"/>
      <c r="AV787" s="585"/>
      <c r="AW787" s="585"/>
      <c r="AX787" s="673"/>
      <c r="AY787" s="380"/>
      <c r="AZ787" s="380"/>
      <c r="BA787" s="380"/>
      <c r="BB787" s="380"/>
      <c r="BC787" s="380"/>
      <c r="BD787" s="380"/>
      <c r="BE787" s="380"/>
      <c r="BF787" s="380"/>
      <c r="BG787" s="380"/>
      <c r="BH787" s="380"/>
      <c r="BI787" s="511"/>
      <c r="BJ787" s="380"/>
      <c r="BK787" s="380"/>
      <c r="BL787" s="380"/>
      <c r="BM787" s="380"/>
      <c r="BN787" s="380"/>
      <c r="BO787" s="380"/>
      <c r="BP787" s="380"/>
      <c r="BQ787" s="380"/>
      <c r="BR787" s="380"/>
    </row>
    <row r="788" spans="1:70" ht="12.75" customHeight="1" x14ac:dyDescent="0.25">
      <c r="A788" s="380"/>
      <c r="B788" s="380"/>
      <c r="C788" s="380"/>
      <c r="D788" s="380"/>
      <c r="E788" s="511"/>
      <c r="F788" s="511"/>
      <c r="G788" s="582"/>
      <c r="H788" s="511"/>
      <c r="I788" s="511"/>
      <c r="J788" s="582"/>
      <c r="K788" s="511"/>
      <c r="L788" s="511"/>
      <c r="M788" s="582"/>
      <c r="N788" s="582"/>
      <c r="O788" s="582"/>
      <c r="P788" s="582"/>
      <c r="Q788" s="511"/>
      <c r="R788" s="511"/>
      <c r="S788" s="511"/>
      <c r="T788" s="639"/>
      <c r="U788" s="511"/>
      <c r="V788" s="511"/>
      <c r="W788" s="511"/>
      <c r="X788" s="511"/>
      <c r="Y788" s="380"/>
      <c r="Z788" s="380"/>
      <c r="AA788" s="380"/>
      <c r="AB788" s="380"/>
      <c r="AC788" s="380"/>
      <c r="AD788" s="671"/>
      <c r="AE788" s="380"/>
      <c r="AF788" s="380"/>
      <c r="AG788" s="380"/>
      <c r="AH788" s="671"/>
      <c r="AI788" s="380"/>
      <c r="AJ788" s="583"/>
      <c r="AK788" s="583"/>
      <c r="AL788" s="511"/>
      <c r="AM788" s="584"/>
      <c r="AN788" s="584"/>
      <c r="AO788" s="584"/>
      <c r="AP788" s="671"/>
      <c r="AQ788" s="584"/>
      <c r="AR788" s="583"/>
      <c r="AS788" s="583"/>
      <c r="AT788" s="585"/>
      <c r="AU788" s="585"/>
      <c r="AV788" s="585"/>
      <c r="AW788" s="585"/>
      <c r="AX788" s="673"/>
      <c r="AY788" s="380"/>
      <c r="AZ788" s="380"/>
      <c r="BA788" s="380"/>
      <c r="BB788" s="380"/>
      <c r="BC788" s="380"/>
      <c r="BD788" s="380"/>
      <c r="BE788" s="380"/>
      <c r="BF788" s="380"/>
      <c r="BG788" s="380"/>
      <c r="BH788" s="380"/>
      <c r="BI788" s="511"/>
      <c r="BJ788" s="380"/>
      <c r="BK788" s="380"/>
      <c r="BL788" s="380"/>
      <c r="BM788" s="380"/>
      <c r="BN788" s="380"/>
      <c r="BO788" s="380"/>
      <c r="BP788" s="380"/>
      <c r="BQ788" s="380"/>
      <c r="BR788" s="380"/>
    </row>
    <row r="789" spans="1:70" ht="12.75" customHeight="1" x14ac:dyDescent="0.25">
      <c r="A789" s="380"/>
      <c r="B789" s="380"/>
      <c r="C789" s="380"/>
      <c r="D789" s="380"/>
      <c r="E789" s="511"/>
      <c r="F789" s="511"/>
      <c r="G789" s="582"/>
      <c r="H789" s="511"/>
      <c r="I789" s="511"/>
      <c r="J789" s="582"/>
      <c r="K789" s="511"/>
      <c r="L789" s="511"/>
      <c r="M789" s="582"/>
      <c r="N789" s="582"/>
      <c r="O789" s="582"/>
      <c r="P789" s="582"/>
      <c r="Q789" s="511"/>
      <c r="R789" s="511"/>
      <c r="S789" s="511"/>
      <c r="T789" s="639"/>
      <c r="U789" s="511"/>
      <c r="V789" s="511"/>
      <c r="W789" s="511"/>
      <c r="X789" s="511"/>
      <c r="Y789" s="380"/>
      <c r="Z789" s="380"/>
      <c r="AA789" s="380"/>
      <c r="AB789" s="380"/>
      <c r="AC789" s="380"/>
      <c r="AD789" s="671"/>
      <c r="AE789" s="380"/>
      <c r="AF789" s="380"/>
      <c r="AG789" s="380"/>
      <c r="AH789" s="671"/>
      <c r="AI789" s="380"/>
      <c r="AJ789" s="583"/>
      <c r="AK789" s="583"/>
      <c r="AL789" s="511"/>
      <c r="AM789" s="584"/>
      <c r="AN789" s="584"/>
      <c r="AO789" s="584"/>
      <c r="AP789" s="671"/>
      <c r="AQ789" s="584"/>
      <c r="AR789" s="583"/>
      <c r="AS789" s="583"/>
      <c r="AT789" s="585"/>
      <c r="AU789" s="585"/>
      <c r="AV789" s="585"/>
      <c r="AW789" s="585"/>
      <c r="AX789" s="673"/>
      <c r="AY789" s="380"/>
      <c r="AZ789" s="380"/>
      <c r="BA789" s="380"/>
      <c r="BB789" s="380"/>
      <c r="BC789" s="380"/>
      <c r="BD789" s="380"/>
      <c r="BE789" s="380"/>
      <c r="BF789" s="380"/>
      <c r="BG789" s="380"/>
      <c r="BH789" s="380"/>
      <c r="BI789" s="511"/>
      <c r="BJ789" s="380"/>
      <c r="BK789" s="380"/>
      <c r="BL789" s="380"/>
      <c r="BM789" s="380"/>
      <c r="BN789" s="380"/>
      <c r="BO789" s="380"/>
      <c r="BP789" s="380"/>
      <c r="BQ789" s="380"/>
      <c r="BR789" s="380"/>
    </row>
    <row r="790" spans="1:70" ht="12.75" customHeight="1" x14ac:dyDescent="0.25">
      <c r="A790" s="380"/>
      <c r="B790" s="380"/>
      <c r="C790" s="380"/>
      <c r="D790" s="380"/>
      <c r="E790" s="511"/>
      <c r="F790" s="511"/>
      <c r="G790" s="582"/>
      <c r="H790" s="511"/>
      <c r="I790" s="511"/>
      <c r="J790" s="582"/>
      <c r="K790" s="511"/>
      <c r="L790" s="511"/>
      <c r="M790" s="582"/>
      <c r="N790" s="582"/>
      <c r="O790" s="582"/>
      <c r="P790" s="582"/>
      <c r="Q790" s="511"/>
      <c r="R790" s="511"/>
      <c r="S790" s="511"/>
      <c r="T790" s="639"/>
      <c r="U790" s="511"/>
      <c r="V790" s="511"/>
      <c r="W790" s="511"/>
      <c r="X790" s="511"/>
      <c r="Y790" s="380"/>
      <c r="Z790" s="380"/>
      <c r="AA790" s="380"/>
      <c r="AB790" s="380"/>
      <c r="AC790" s="380"/>
      <c r="AD790" s="671"/>
      <c r="AE790" s="380"/>
      <c r="AF790" s="380"/>
      <c r="AG790" s="380"/>
      <c r="AH790" s="671"/>
      <c r="AI790" s="380"/>
      <c r="AJ790" s="583"/>
      <c r="AK790" s="583"/>
      <c r="AL790" s="511"/>
      <c r="AM790" s="584"/>
      <c r="AN790" s="584"/>
      <c r="AO790" s="584"/>
      <c r="AP790" s="671"/>
      <c r="AQ790" s="584"/>
      <c r="AR790" s="583"/>
      <c r="AS790" s="583"/>
      <c r="AT790" s="585"/>
      <c r="AU790" s="585"/>
      <c r="AV790" s="585"/>
      <c r="AW790" s="585"/>
      <c r="AX790" s="673"/>
      <c r="AY790" s="380"/>
      <c r="AZ790" s="380"/>
      <c r="BA790" s="380"/>
      <c r="BB790" s="380"/>
      <c r="BC790" s="380"/>
      <c r="BD790" s="380"/>
      <c r="BE790" s="380"/>
      <c r="BF790" s="380"/>
      <c r="BG790" s="380"/>
      <c r="BH790" s="380"/>
      <c r="BI790" s="511"/>
      <c r="BJ790" s="380"/>
      <c r="BK790" s="380"/>
      <c r="BL790" s="380"/>
      <c r="BM790" s="380"/>
      <c r="BN790" s="380"/>
      <c r="BO790" s="380"/>
      <c r="BP790" s="380"/>
      <c r="BQ790" s="380"/>
      <c r="BR790" s="380"/>
    </row>
    <row r="791" spans="1:70" ht="12.75" customHeight="1" x14ac:dyDescent="0.25">
      <c r="A791" s="380"/>
      <c r="B791" s="380"/>
      <c r="C791" s="380"/>
      <c r="D791" s="380"/>
      <c r="E791" s="511"/>
      <c r="F791" s="511"/>
      <c r="G791" s="582"/>
      <c r="H791" s="511"/>
      <c r="I791" s="511"/>
      <c r="J791" s="582"/>
      <c r="K791" s="511"/>
      <c r="L791" s="511"/>
      <c r="M791" s="582"/>
      <c r="N791" s="582"/>
      <c r="O791" s="582"/>
      <c r="P791" s="582"/>
      <c r="Q791" s="511"/>
      <c r="R791" s="511"/>
      <c r="S791" s="511"/>
      <c r="T791" s="639"/>
      <c r="U791" s="511"/>
      <c r="V791" s="511"/>
      <c r="W791" s="511"/>
      <c r="X791" s="511"/>
      <c r="Y791" s="380"/>
      <c r="Z791" s="380"/>
      <c r="AA791" s="380"/>
      <c r="AB791" s="380"/>
      <c r="AC791" s="380"/>
      <c r="AD791" s="671"/>
      <c r="AE791" s="380"/>
      <c r="AF791" s="380"/>
      <c r="AG791" s="380"/>
      <c r="AH791" s="671"/>
      <c r="AI791" s="380"/>
      <c r="AJ791" s="583"/>
      <c r="AK791" s="583"/>
      <c r="AL791" s="511"/>
      <c r="AM791" s="584"/>
      <c r="AN791" s="584"/>
      <c r="AO791" s="584"/>
      <c r="AP791" s="671"/>
      <c r="AQ791" s="584"/>
      <c r="AR791" s="583"/>
      <c r="AS791" s="583"/>
      <c r="AT791" s="585"/>
      <c r="AU791" s="585"/>
      <c r="AV791" s="585"/>
      <c r="AW791" s="585"/>
      <c r="AX791" s="673"/>
      <c r="AY791" s="380"/>
      <c r="AZ791" s="380"/>
      <c r="BA791" s="380"/>
      <c r="BB791" s="380"/>
      <c r="BC791" s="380"/>
      <c r="BD791" s="380"/>
      <c r="BE791" s="380"/>
      <c r="BF791" s="380"/>
      <c r="BG791" s="380"/>
      <c r="BH791" s="380"/>
      <c r="BI791" s="511"/>
      <c r="BJ791" s="380"/>
      <c r="BK791" s="380"/>
      <c r="BL791" s="380"/>
      <c r="BM791" s="380"/>
      <c r="BN791" s="380"/>
      <c r="BO791" s="380"/>
      <c r="BP791" s="380"/>
      <c r="BQ791" s="380"/>
      <c r="BR791" s="380"/>
    </row>
    <row r="792" spans="1:70" ht="12.75" customHeight="1" x14ac:dyDescent="0.25">
      <c r="A792" s="380"/>
      <c r="B792" s="380"/>
      <c r="C792" s="380"/>
      <c r="D792" s="380"/>
      <c r="E792" s="511"/>
      <c r="F792" s="511"/>
      <c r="G792" s="582"/>
      <c r="H792" s="511"/>
      <c r="I792" s="511"/>
      <c r="J792" s="582"/>
      <c r="K792" s="511"/>
      <c r="L792" s="511"/>
      <c r="M792" s="582"/>
      <c r="N792" s="582"/>
      <c r="O792" s="582"/>
      <c r="P792" s="582"/>
      <c r="Q792" s="511"/>
      <c r="R792" s="511"/>
      <c r="S792" s="511"/>
      <c r="T792" s="639"/>
      <c r="U792" s="511"/>
      <c r="V792" s="511"/>
      <c r="W792" s="511"/>
      <c r="X792" s="511"/>
      <c r="Y792" s="380"/>
      <c r="Z792" s="380"/>
      <c r="AA792" s="380"/>
      <c r="AB792" s="380"/>
      <c r="AC792" s="380"/>
      <c r="AD792" s="671"/>
      <c r="AE792" s="380"/>
      <c r="AF792" s="380"/>
      <c r="AG792" s="380"/>
      <c r="AH792" s="671"/>
      <c r="AI792" s="380"/>
      <c r="AJ792" s="583"/>
      <c r="AK792" s="583"/>
      <c r="AL792" s="511"/>
      <c r="AM792" s="584"/>
      <c r="AN792" s="584"/>
      <c r="AO792" s="584"/>
      <c r="AP792" s="671"/>
      <c r="AQ792" s="584"/>
      <c r="AR792" s="583"/>
      <c r="AS792" s="583"/>
      <c r="AT792" s="585"/>
      <c r="AU792" s="585"/>
      <c r="AV792" s="585"/>
      <c r="AW792" s="585"/>
      <c r="AX792" s="673"/>
      <c r="AY792" s="380"/>
      <c r="AZ792" s="380"/>
      <c r="BA792" s="380"/>
      <c r="BB792" s="380"/>
      <c r="BC792" s="380"/>
      <c r="BD792" s="380"/>
      <c r="BE792" s="380"/>
      <c r="BF792" s="380"/>
      <c r="BG792" s="380"/>
      <c r="BH792" s="380"/>
      <c r="BI792" s="511"/>
      <c r="BJ792" s="380"/>
      <c r="BK792" s="380"/>
      <c r="BL792" s="380"/>
      <c r="BM792" s="380"/>
      <c r="BN792" s="380"/>
      <c r="BO792" s="380"/>
      <c r="BP792" s="380"/>
      <c r="BQ792" s="380"/>
      <c r="BR792" s="380"/>
    </row>
    <row r="793" spans="1:70" ht="12.75" customHeight="1" x14ac:dyDescent="0.25">
      <c r="A793" s="380"/>
      <c r="B793" s="380"/>
      <c r="C793" s="380"/>
      <c r="D793" s="380"/>
      <c r="E793" s="511"/>
      <c r="F793" s="511"/>
      <c r="G793" s="582"/>
      <c r="H793" s="511"/>
      <c r="I793" s="511"/>
      <c r="J793" s="582"/>
      <c r="K793" s="511"/>
      <c r="L793" s="511"/>
      <c r="M793" s="582"/>
      <c r="N793" s="582"/>
      <c r="O793" s="582"/>
      <c r="P793" s="582"/>
      <c r="Q793" s="511"/>
      <c r="R793" s="511"/>
      <c r="S793" s="511"/>
      <c r="T793" s="639"/>
      <c r="U793" s="511"/>
      <c r="V793" s="511"/>
      <c r="W793" s="511"/>
      <c r="X793" s="511"/>
      <c r="Y793" s="380"/>
      <c r="Z793" s="380"/>
      <c r="AA793" s="380"/>
      <c r="AB793" s="380"/>
      <c r="AC793" s="380"/>
      <c r="AD793" s="671"/>
      <c r="AE793" s="380"/>
      <c r="AF793" s="380"/>
      <c r="AG793" s="380"/>
      <c r="AH793" s="671"/>
      <c r="AI793" s="380"/>
      <c r="AJ793" s="583"/>
      <c r="AK793" s="583"/>
      <c r="AL793" s="511"/>
      <c r="AM793" s="584"/>
      <c r="AN793" s="584"/>
      <c r="AO793" s="584"/>
      <c r="AP793" s="671"/>
      <c r="AQ793" s="584"/>
      <c r="AR793" s="583"/>
      <c r="AS793" s="583"/>
      <c r="AT793" s="585"/>
      <c r="AU793" s="585"/>
      <c r="AV793" s="585"/>
      <c r="AW793" s="585"/>
      <c r="AX793" s="673"/>
      <c r="AY793" s="380"/>
      <c r="AZ793" s="380"/>
      <c r="BA793" s="380"/>
      <c r="BB793" s="380"/>
      <c r="BC793" s="380"/>
      <c r="BD793" s="380"/>
      <c r="BE793" s="380"/>
      <c r="BF793" s="380"/>
      <c r="BG793" s="380"/>
      <c r="BH793" s="380"/>
      <c r="BI793" s="511"/>
      <c r="BJ793" s="380"/>
      <c r="BK793" s="380"/>
      <c r="BL793" s="380"/>
      <c r="BM793" s="380"/>
      <c r="BN793" s="380"/>
      <c r="BO793" s="380"/>
      <c r="BP793" s="380"/>
      <c r="BQ793" s="380"/>
      <c r="BR793" s="380"/>
    </row>
    <row r="794" spans="1:70" ht="12.75" customHeight="1" x14ac:dyDescent="0.25">
      <c r="A794" s="380"/>
      <c r="B794" s="380"/>
      <c r="C794" s="380"/>
      <c r="D794" s="380"/>
      <c r="E794" s="511"/>
      <c r="F794" s="511"/>
      <c r="G794" s="582"/>
      <c r="H794" s="511"/>
      <c r="I794" s="511"/>
      <c r="J794" s="582"/>
      <c r="K794" s="511"/>
      <c r="L794" s="511"/>
      <c r="M794" s="582"/>
      <c r="N794" s="582"/>
      <c r="O794" s="582"/>
      <c r="P794" s="582"/>
      <c r="Q794" s="511"/>
      <c r="R794" s="511"/>
      <c r="S794" s="511"/>
      <c r="T794" s="639"/>
      <c r="U794" s="511"/>
      <c r="V794" s="511"/>
      <c r="W794" s="511"/>
      <c r="X794" s="511"/>
      <c r="Y794" s="380"/>
      <c r="Z794" s="380"/>
      <c r="AA794" s="380"/>
      <c r="AB794" s="380"/>
      <c r="AC794" s="380"/>
      <c r="AD794" s="671"/>
      <c r="AE794" s="380"/>
      <c r="AF794" s="380"/>
      <c r="AG794" s="380"/>
      <c r="AH794" s="671"/>
      <c r="AI794" s="380"/>
      <c r="AJ794" s="583"/>
      <c r="AK794" s="583"/>
      <c r="AL794" s="511"/>
      <c r="AM794" s="584"/>
      <c r="AN794" s="584"/>
      <c r="AO794" s="584"/>
      <c r="AP794" s="671"/>
      <c r="AQ794" s="584"/>
      <c r="AR794" s="583"/>
      <c r="AS794" s="583"/>
      <c r="AT794" s="585"/>
      <c r="AU794" s="585"/>
      <c r="AV794" s="585"/>
      <c r="AW794" s="585"/>
      <c r="AX794" s="673"/>
      <c r="AY794" s="380"/>
      <c r="AZ794" s="380"/>
      <c r="BA794" s="380"/>
      <c r="BB794" s="380"/>
      <c r="BC794" s="380"/>
      <c r="BD794" s="380"/>
      <c r="BE794" s="380"/>
      <c r="BF794" s="380"/>
      <c r="BG794" s="380"/>
      <c r="BH794" s="380"/>
      <c r="BI794" s="511"/>
      <c r="BJ794" s="380"/>
      <c r="BK794" s="380"/>
      <c r="BL794" s="380"/>
      <c r="BM794" s="380"/>
      <c r="BN794" s="380"/>
      <c r="BO794" s="380"/>
      <c r="BP794" s="380"/>
      <c r="BQ794" s="380"/>
      <c r="BR794" s="380"/>
    </row>
    <row r="795" spans="1:70" ht="12.75" customHeight="1" x14ac:dyDescent="0.25">
      <c r="A795" s="380"/>
      <c r="B795" s="380"/>
      <c r="C795" s="380"/>
      <c r="D795" s="380"/>
      <c r="E795" s="511"/>
      <c r="F795" s="511"/>
      <c r="G795" s="582"/>
      <c r="H795" s="511"/>
      <c r="I795" s="511"/>
      <c r="J795" s="582"/>
      <c r="K795" s="511"/>
      <c r="L795" s="511"/>
      <c r="M795" s="582"/>
      <c r="N795" s="582"/>
      <c r="O795" s="582"/>
      <c r="P795" s="582"/>
      <c r="Q795" s="511"/>
      <c r="R795" s="511"/>
      <c r="S795" s="511"/>
      <c r="T795" s="639"/>
      <c r="U795" s="511"/>
      <c r="V795" s="511"/>
      <c r="W795" s="511"/>
      <c r="X795" s="511"/>
      <c r="Y795" s="380"/>
      <c r="Z795" s="380"/>
      <c r="AA795" s="380"/>
      <c r="AB795" s="380"/>
      <c r="AC795" s="380"/>
      <c r="AD795" s="671"/>
      <c r="AE795" s="380"/>
      <c r="AF795" s="380"/>
      <c r="AG795" s="380"/>
      <c r="AH795" s="671"/>
      <c r="AI795" s="380"/>
      <c r="AJ795" s="583"/>
      <c r="AK795" s="583"/>
      <c r="AL795" s="511"/>
      <c r="AM795" s="584"/>
      <c r="AN795" s="584"/>
      <c r="AO795" s="584"/>
      <c r="AP795" s="671"/>
      <c r="AQ795" s="584"/>
      <c r="AR795" s="583"/>
      <c r="AS795" s="583"/>
      <c r="AT795" s="585"/>
      <c r="AU795" s="585"/>
      <c r="AV795" s="585"/>
      <c r="AW795" s="585"/>
      <c r="AX795" s="673"/>
      <c r="AY795" s="380"/>
      <c r="AZ795" s="380"/>
      <c r="BA795" s="380"/>
      <c r="BB795" s="380"/>
      <c r="BC795" s="380"/>
      <c r="BD795" s="380"/>
      <c r="BE795" s="380"/>
      <c r="BF795" s="380"/>
      <c r="BG795" s="380"/>
      <c r="BH795" s="380"/>
      <c r="BI795" s="511"/>
      <c r="BJ795" s="380"/>
      <c r="BK795" s="380"/>
      <c r="BL795" s="380"/>
      <c r="BM795" s="380"/>
      <c r="BN795" s="380"/>
      <c r="BO795" s="380"/>
      <c r="BP795" s="380"/>
      <c r="BQ795" s="380"/>
      <c r="BR795" s="380"/>
    </row>
    <row r="796" spans="1:70" ht="12.75" customHeight="1" x14ac:dyDescent="0.25">
      <c r="A796" s="380"/>
      <c r="B796" s="380"/>
      <c r="C796" s="380"/>
      <c r="D796" s="380"/>
      <c r="E796" s="511"/>
      <c r="F796" s="511"/>
      <c r="G796" s="582"/>
      <c r="H796" s="511"/>
      <c r="I796" s="511"/>
      <c r="J796" s="582"/>
      <c r="K796" s="511"/>
      <c r="L796" s="511"/>
      <c r="M796" s="582"/>
      <c r="N796" s="582"/>
      <c r="O796" s="582"/>
      <c r="P796" s="582"/>
      <c r="Q796" s="511"/>
      <c r="R796" s="511"/>
      <c r="S796" s="511"/>
      <c r="T796" s="639"/>
      <c r="U796" s="511"/>
      <c r="V796" s="511"/>
      <c r="W796" s="511"/>
      <c r="X796" s="511"/>
      <c r="Y796" s="380"/>
      <c r="Z796" s="380"/>
      <c r="AA796" s="380"/>
      <c r="AB796" s="380"/>
      <c r="AC796" s="380"/>
      <c r="AD796" s="671"/>
      <c r="AE796" s="380"/>
      <c r="AF796" s="380"/>
      <c r="AG796" s="380"/>
      <c r="AH796" s="671"/>
      <c r="AI796" s="380"/>
      <c r="AJ796" s="583"/>
      <c r="AK796" s="583"/>
      <c r="AL796" s="511"/>
      <c r="AM796" s="584"/>
      <c r="AN796" s="584"/>
      <c r="AO796" s="584"/>
      <c r="AP796" s="671"/>
      <c r="AQ796" s="584"/>
      <c r="AR796" s="583"/>
      <c r="AS796" s="583"/>
      <c r="AT796" s="585"/>
      <c r="AU796" s="585"/>
      <c r="AV796" s="585"/>
      <c r="AW796" s="585"/>
      <c r="AX796" s="673"/>
      <c r="AY796" s="380"/>
      <c r="AZ796" s="380"/>
      <c r="BA796" s="380"/>
      <c r="BB796" s="380"/>
      <c r="BC796" s="380"/>
      <c r="BD796" s="380"/>
      <c r="BE796" s="380"/>
      <c r="BF796" s="380"/>
      <c r="BG796" s="380"/>
      <c r="BH796" s="380"/>
      <c r="BI796" s="511"/>
      <c r="BJ796" s="380"/>
      <c r="BK796" s="380"/>
      <c r="BL796" s="380"/>
      <c r="BM796" s="380"/>
      <c r="BN796" s="380"/>
      <c r="BO796" s="380"/>
      <c r="BP796" s="380"/>
      <c r="BQ796" s="380"/>
      <c r="BR796" s="380"/>
    </row>
    <row r="797" spans="1:70" ht="12.75" customHeight="1" x14ac:dyDescent="0.25">
      <c r="A797" s="380"/>
      <c r="B797" s="380"/>
      <c r="C797" s="380"/>
      <c r="D797" s="380"/>
      <c r="E797" s="511"/>
      <c r="F797" s="511"/>
      <c r="G797" s="582"/>
      <c r="H797" s="511"/>
      <c r="I797" s="511"/>
      <c r="J797" s="582"/>
      <c r="K797" s="511"/>
      <c r="L797" s="511"/>
      <c r="M797" s="582"/>
      <c r="N797" s="582"/>
      <c r="O797" s="582"/>
      <c r="P797" s="582"/>
      <c r="Q797" s="511"/>
      <c r="R797" s="511"/>
      <c r="S797" s="511"/>
      <c r="T797" s="639"/>
      <c r="U797" s="511"/>
      <c r="V797" s="511"/>
      <c r="W797" s="511"/>
      <c r="X797" s="511"/>
      <c r="Y797" s="380"/>
      <c r="Z797" s="380"/>
      <c r="AA797" s="380"/>
      <c r="AB797" s="380"/>
      <c r="AC797" s="380"/>
      <c r="AD797" s="671"/>
      <c r="AE797" s="380"/>
      <c r="AF797" s="380"/>
      <c r="AG797" s="380"/>
      <c r="AH797" s="671"/>
      <c r="AI797" s="380"/>
      <c r="AJ797" s="583"/>
      <c r="AK797" s="583"/>
      <c r="AL797" s="511"/>
      <c r="AM797" s="584"/>
      <c r="AN797" s="584"/>
      <c r="AO797" s="584"/>
      <c r="AP797" s="671"/>
      <c r="AQ797" s="584"/>
      <c r="AR797" s="583"/>
      <c r="AS797" s="583"/>
      <c r="AT797" s="585"/>
      <c r="AU797" s="585"/>
      <c r="AV797" s="585"/>
      <c r="AW797" s="585"/>
      <c r="AX797" s="673"/>
      <c r="AY797" s="380"/>
      <c r="AZ797" s="380"/>
      <c r="BA797" s="380"/>
      <c r="BB797" s="380"/>
      <c r="BC797" s="380"/>
      <c r="BD797" s="380"/>
      <c r="BE797" s="380"/>
      <c r="BF797" s="380"/>
      <c r="BG797" s="380"/>
      <c r="BH797" s="380"/>
      <c r="BI797" s="511"/>
      <c r="BJ797" s="380"/>
      <c r="BK797" s="380"/>
      <c r="BL797" s="380"/>
      <c r="BM797" s="380"/>
      <c r="BN797" s="380"/>
      <c r="BO797" s="380"/>
      <c r="BP797" s="380"/>
      <c r="BQ797" s="380"/>
      <c r="BR797" s="380"/>
    </row>
    <row r="798" spans="1:70" ht="12.75" customHeight="1" x14ac:dyDescent="0.25">
      <c r="A798" s="380"/>
      <c r="B798" s="380"/>
      <c r="C798" s="380"/>
      <c r="D798" s="380"/>
      <c r="E798" s="511"/>
      <c r="F798" s="511"/>
      <c r="G798" s="582"/>
      <c r="H798" s="511"/>
      <c r="I798" s="511"/>
      <c r="J798" s="582"/>
      <c r="K798" s="511"/>
      <c r="L798" s="511"/>
      <c r="M798" s="582"/>
      <c r="N798" s="582"/>
      <c r="O798" s="582"/>
      <c r="P798" s="582"/>
      <c r="Q798" s="511"/>
      <c r="R798" s="511"/>
      <c r="S798" s="511"/>
      <c r="T798" s="639"/>
      <c r="U798" s="511"/>
      <c r="V798" s="511"/>
      <c r="W798" s="511"/>
      <c r="X798" s="511"/>
      <c r="Y798" s="380"/>
      <c r="Z798" s="380"/>
      <c r="AA798" s="380"/>
      <c r="AB798" s="380"/>
      <c r="AC798" s="380"/>
      <c r="AD798" s="671"/>
      <c r="AE798" s="380"/>
      <c r="AF798" s="380"/>
      <c r="AG798" s="380"/>
      <c r="AH798" s="671"/>
      <c r="AI798" s="380"/>
      <c r="AJ798" s="583"/>
      <c r="AK798" s="583"/>
      <c r="AL798" s="511"/>
      <c r="AM798" s="584"/>
      <c r="AN798" s="584"/>
      <c r="AO798" s="584"/>
      <c r="AP798" s="671"/>
      <c r="AQ798" s="584"/>
      <c r="AR798" s="583"/>
      <c r="AS798" s="583"/>
      <c r="AT798" s="585"/>
      <c r="AU798" s="585"/>
      <c r="AV798" s="585"/>
      <c r="AW798" s="585"/>
      <c r="AX798" s="673"/>
      <c r="AY798" s="380"/>
      <c r="AZ798" s="380"/>
      <c r="BA798" s="380"/>
      <c r="BB798" s="380"/>
      <c r="BC798" s="380"/>
      <c r="BD798" s="380"/>
      <c r="BE798" s="380"/>
      <c r="BF798" s="380"/>
      <c r="BG798" s="380"/>
      <c r="BH798" s="380"/>
      <c r="BI798" s="511"/>
      <c r="BJ798" s="380"/>
      <c r="BK798" s="380"/>
      <c r="BL798" s="380"/>
      <c r="BM798" s="380"/>
      <c r="BN798" s="380"/>
      <c r="BO798" s="380"/>
      <c r="BP798" s="380"/>
      <c r="BQ798" s="380"/>
      <c r="BR798" s="380"/>
    </row>
    <row r="799" spans="1:70" ht="12.75" customHeight="1" x14ac:dyDescent="0.25">
      <c r="A799" s="380"/>
      <c r="B799" s="380"/>
      <c r="C799" s="380"/>
      <c r="D799" s="380"/>
      <c r="E799" s="511"/>
      <c r="F799" s="511"/>
      <c r="G799" s="582"/>
      <c r="H799" s="511"/>
      <c r="I799" s="511"/>
      <c r="J799" s="582"/>
      <c r="K799" s="511"/>
      <c r="L799" s="511"/>
      <c r="M799" s="582"/>
      <c r="N799" s="582"/>
      <c r="O799" s="582"/>
      <c r="P799" s="582"/>
      <c r="Q799" s="511"/>
      <c r="R799" s="511"/>
      <c r="S799" s="511"/>
      <c r="T799" s="639"/>
      <c r="U799" s="511"/>
      <c r="V799" s="511"/>
      <c r="W799" s="511"/>
      <c r="X799" s="511"/>
      <c r="Y799" s="380"/>
      <c r="Z799" s="380"/>
      <c r="AA799" s="380"/>
      <c r="AB799" s="380"/>
      <c r="AC799" s="380"/>
      <c r="AD799" s="671"/>
      <c r="AE799" s="380"/>
      <c r="AF799" s="380"/>
      <c r="AG799" s="380"/>
      <c r="AH799" s="671"/>
      <c r="AI799" s="380"/>
      <c r="AJ799" s="583"/>
      <c r="AK799" s="583"/>
      <c r="AL799" s="511"/>
      <c r="AM799" s="584"/>
      <c r="AN799" s="584"/>
      <c r="AO799" s="584"/>
      <c r="AP799" s="671"/>
      <c r="AQ799" s="584"/>
      <c r="AR799" s="583"/>
      <c r="AS799" s="583"/>
      <c r="AT799" s="585"/>
      <c r="AU799" s="585"/>
      <c r="AV799" s="585"/>
      <c r="AW799" s="585"/>
      <c r="AX799" s="673"/>
      <c r="AY799" s="380"/>
      <c r="AZ799" s="380"/>
      <c r="BA799" s="380"/>
      <c r="BB799" s="380"/>
      <c r="BC799" s="380"/>
      <c r="BD799" s="380"/>
      <c r="BE799" s="380"/>
      <c r="BF799" s="380"/>
      <c r="BG799" s="380"/>
      <c r="BH799" s="380"/>
      <c r="BI799" s="511"/>
      <c r="BJ799" s="380"/>
      <c r="BK799" s="380"/>
      <c r="BL799" s="380"/>
      <c r="BM799" s="380"/>
      <c r="BN799" s="380"/>
      <c r="BO799" s="380"/>
      <c r="BP799" s="380"/>
      <c r="BQ799" s="380"/>
      <c r="BR799" s="380"/>
    </row>
    <row r="800" spans="1:70" ht="12.75" customHeight="1" x14ac:dyDescent="0.25">
      <c r="A800" s="380"/>
      <c r="B800" s="380"/>
      <c r="C800" s="380"/>
      <c r="D800" s="380"/>
      <c r="E800" s="511"/>
      <c r="F800" s="511"/>
      <c r="G800" s="582"/>
      <c r="H800" s="511"/>
      <c r="I800" s="511"/>
      <c r="J800" s="582"/>
      <c r="K800" s="511"/>
      <c r="L800" s="511"/>
      <c r="M800" s="582"/>
      <c r="N800" s="582"/>
      <c r="O800" s="582"/>
      <c r="P800" s="582"/>
      <c r="Q800" s="511"/>
      <c r="R800" s="511"/>
      <c r="S800" s="511"/>
      <c r="T800" s="639"/>
      <c r="U800" s="511"/>
      <c r="V800" s="511"/>
      <c r="W800" s="511"/>
      <c r="X800" s="511"/>
      <c r="Y800" s="380"/>
      <c r="Z800" s="380"/>
      <c r="AA800" s="380"/>
      <c r="AB800" s="380"/>
      <c r="AC800" s="380"/>
      <c r="AD800" s="671"/>
      <c r="AE800" s="380"/>
      <c r="AF800" s="380"/>
      <c r="AG800" s="380"/>
      <c r="AH800" s="671"/>
      <c r="AI800" s="380"/>
      <c r="AJ800" s="583"/>
      <c r="AK800" s="583"/>
      <c r="AL800" s="511"/>
      <c r="AM800" s="584"/>
      <c r="AN800" s="584"/>
      <c r="AO800" s="584"/>
      <c r="AP800" s="671"/>
      <c r="AQ800" s="584"/>
      <c r="AR800" s="583"/>
      <c r="AS800" s="583"/>
      <c r="AT800" s="585"/>
      <c r="AU800" s="585"/>
      <c r="AV800" s="585"/>
      <c r="AW800" s="585"/>
      <c r="AX800" s="673"/>
      <c r="AY800" s="380"/>
      <c r="AZ800" s="380"/>
      <c r="BA800" s="380"/>
      <c r="BB800" s="380"/>
      <c r="BC800" s="380"/>
      <c r="BD800" s="380"/>
      <c r="BE800" s="380"/>
      <c r="BF800" s="380"/>
      <c r="BG800" s="380"/>
      <c r="BH800" s="380"/>
      <c r="BI800" s="511"/>
      <c r="BJ800" s="380"/>
      <c r="BK800" s="380"/>
      <c r="BL800" s="380"/>
      <c r="BM800" s="380"/>
      <c r="BN800" s="380"/>
      <c r="BO800" s="380"/>
      <c r="BP800" s="380"/>
      <c r="BQ800" s="380"/>
      <c r="BR800" s="380"/>
    </row>
    <row r="801" spans="1:70" ht="12.75" customHeight="1" x14ac:dyDescent="0.25">
      <c r="A801" s="380"/>
      <c r="B801" s="380"/>
      <c r="C801" s="380"/>
      <c r="D801" s="380"/>
      <c r="E801" s="511"/>
      <c r="F801" s="511"/>
      <c r="G801" s="582"/>
      <c r="H801" s="511"/>
      <c r="I801" s="511"/>
      <c r="J801" s="582"/>
      <c r="K801" s="511"/>
      <c r="L801" s="511"/>
      <c r="M801" s="582"/>
      <c r="N801" s="582"/>
      <c r="O801" s="582"/>
      <c r="P801" s="582"/>
      <c r="Q801" s="511"/>
      <c r="R801" s="511"/>
      <c r="S801" s="511"/>
      <c r="T801" s="639"/>
      <c r="U801" s="511"/>
      <c r="V801" s="511"/>
      <c r="W801" s="511"/>
      <c r="X801" s="511"/>
      <c r="Y801" s="380"/>
      <c r="Z801" s="380"/>
      <c r="AA801" s="380"/>
      <c r="AB801" s="380"/>
      <c r="AC801" s="380"/>
      <c r="AD801" s="671"/>
      <c r="AE801" s="380"/>
      <c r="AF801" s="380"/>
      <c r="AG801" s="380"/>
      <c r="AH801" s="671"/>
      <c r="AI801" s="380"/>
      <c r="AJ801" s="583"/>
      <c r="AK801" s="583"/>
      <c r="AL801" s="511"/>
      <c r="AM801" s="584"/>
      <c r="AN801" s="584"/>
      <c r="AO801" s="584"/>
      <c r="AP801" s="671"/>
      <c r="AQ801" s="584"/>
      <c r="AR801" s="583"/>
      <c r="AS801" s="583"/>
      <c r="AT801" s="585"/>
      <c r="AU801" s="585"/>
      <c r="AV801" s="585"/>
      <c r="AW801" s="585"/>
      <c r="AX801" s="673"/>
      <c r="AY801" s="380"/>
      <c r="AZ801" s="380"/>
      <c r="BA801" s="380"/>
      <c r="BB801" s="380"/>
      <c r="BC801" s="380"/>
      <c r="BD801" s="380"/>
      <c r="BE801" s="380"/>
      <c r="BF801" s="380"/>
      <c r="BG801" s="380"/>
      <c r="BH801" s="380"/>
      <c r="BI801" s="511"/>
      <c r="BJ801" s="380"/>
      <c r="BK801" s="380"/>
      <c r="BL801" s="380"/>
      <c r="BM801" s="380"/>
      <c r="BN801" s="380"/>
      <c r="BO801" s="380"/>
      <c r="BP801" s="380"/>
      <c r="BQ801" s="380"/>
      <c r="BR801" s="380"/>
    </row>
    <row r="802" spans="1:70" ht="12.75" customHeight="1" x14ac:dyDescent="0.25">
      <c r="A802" s="380"/>
      <c r="B802" s="380"/>
      <c r="C802" s="380"/>
      <c r="D802" s="380"/>
      <c r="E802" s="511"/>
      <c r="F802" s="511"/>
      <c r="G802" s="582"/>
      <c r="H802" s="511"/>
      <c r="I802" s="511"/>
      <c r="J802" s="582"/>
      <c r="K802" s="511"/>
      <c r="L802" s="511"/>
      <c r="M802" s="582"/>
      <c r="N802" s="582"/>
      <c r="O802" s="582"/>
      <c r="P802" s="582"/>
      <c r="Q802" s="511"/>
      <c r="R802" s="511"/>
      <c r="S802" s="511"/>
      <c r="T802" s="639"/>
      <c r="U802" s="511"/>
      <c r="V802" s="511"/>
      <c r="W802" s="511"/>
      <c r="X802" s="511"/>
      <c r="Y802" s="380"/>
      <c r="Z802" s="380"/>
      <c r="AA802" s="380"/>
      <c r="AB802" s="380"/>
      <c r="AC802" s="380"/>
      <c r="AD802" s="671"/>
      <c r="AE802" s="380"/>
      <c r="AF802" s="380"/>
      <c r="AG802" s="380"/>
      <c r="AH802" s="671"/>
      <c r="AI802" s="380"/>
      <c r="AJ802" s="583"/>
      <c r="AK802" s="583"/>
      <c r="AL802" s="511"/>
      <c r="AM802" s="584"/>
      <c r="AN802" s="584"/>
      <c r="AO802" s="584"/>
      <c r="AP802" s="671"/>
      <c r="AQ802" s="584"/>
      <c r="AR802" s="583"/>
      <c r="AS802" s="583"/>
      <c r="AT802" s="585"/>
      <c r="AU802" s="585"/>
      <c r="AV802" s="585"/>
      <c r="AW802" s="585"/>
      <c r="AX802" s="673"/>
      <c r="AY802" s="380"/>
      <c r="AZ802" s="380"/>
      <c r="BA802" s="380"/>
      <c r="BB802" s="380"/>
      <c r="BC802" s="380"/>
      <c r="BD802" s="380"/>
      <c r="BE802" s="380"/>
      <c r="BF802" s="380"/>
      <c r="BG802" s="380"/>
      <c r="BH802" s="380"/>
      <c r="BI802" s="511"/>
      <c r="BJ802" s="380"/>
      <c r="BK802" s="380"/>
      <c r="BL802" s="380"/>
      <c r="BM802" s="380"/>
      <c r="BN802" s="380"/>
      <c r="BO802" s="380"/>
      <c r="BP802" s="380"/>
      <c r="BQ802" s="380"/>
      <c r="BR802" s="380"/>
    </row>
    <row r="803" spans="1:70" ht="12.75" customHeight="1" x14ac:dyDescent="0.25">
      <c r="A803" s="380"/>
      <c r="B803" s="380"/>
      <c r="C803" s="380"/>
      <c r="D803" s="380"/>
      <c r="E803" s="511"/>
      <c r="F803" s="511"/>
      <c r="G803" s="582"/>
      <c r="H803" s="511"/>
      <c r="I803" s="511"/>
      <c r="J803" s="582"/>
      <c r="K803" s="511"/>
      <c r="L803" s="511"/>
      <c r="M803" s="582"/>
      <c r="N803" s="582"/>
      <c r="O803" s="582"/>
      <c r="P803" s="582"/>
      <c r="Q803" s="511"/>
      <c r="R803" s="511"/>
      <c r="S803" s="511"/>
      <c r="T803" s="639"/>
      <c r="U803" s="511"/>
      <c r="V803" s="511"/>
      <c r="W803" s="511"/>
      <c r="X803" s="511"/>
      <c r="Y803" s="380"/>
      <c r="Z803" s="380"/>
      <c r="AA803" s="380"/>
      <c r="AB803" s="380"/>
      <c r="AC803" s="380"/>
      <c r="AD803" s="671"/>
      <c r="AE803" s="380"/>
      <c r="AF803" s="380"/>
      <c r="AG803" s="380"/>
      <c r="AH803" s="671"/>
      <c r="AI803" s="380"/>
      <c r="AJ803" s="583"/>
      <c r="AK803" s="583"/>
      <c r="AL803" s="511"/>
      <c r="AM803" s="584"/>
      <c r="AN803" s="584"/>
      <c r="AO803" s="584"/>
      <c r="AP803" s="671"/>
      <c r="AQ803" s="584"/>
      <c r="AR803" s="583"/>
      <c r="AS803" s="583"/>
      <c r="AT803" s="585"/>
      <c r="AU803" s="585"/>
      <c r="AV803" s="585"/>
      <c r="AW803" s="585"/>
      <c r="AX803" s="673"/>
      <c r="AY803" s="380"/>
      <c r="AZ803" s="380"/>
      <c r="BA803" s="380"/>
      <c r="BB803" s="380"/>
      <c r="BC803" s="380"/>
      <c r="BD803" s="380"/>
      <c r="BE803" s="380"/>
      <c r="BF803" s="380"/>
      <c r="BG803" s="380"/>
      <c r="BH803" s="380"/>
      <c r="BI803" s="511"/>
      <c r="BJ803" s="380"/>
      <c r="BK803" s="380"/>
      <c r="BL803" s="380"/>
      <c r="BM803" s="380"/>
      <c r="BN803" s="380"/>
      <c r="BO803" s="380"/>
      <c r="BP803" s="380"/>
      <c r="BQ803" s="380"/>
      <c r="BR803" s="380"/>
    </row>
    <row r="804" spans="1:70" ht="12.75" customHeight="1" x14ac:dyDescent="0.25">
      <c r="A804" s="380"/>
      <c r="B804" s="380"/>
      <c r="C804" s="380"/>
      <c r="D804" s="380"/>
      <c r="E804" s="511"/>
      <c r="F804" s="511"/>
      <c r="G804" s="582"/>
      <c r="H804" s="511"/>
      <c r="I804" s="511"/>
      <c r="J804" s="582"/>
      <c r="K804" s="511"/>
      <c r="L804" s="511"/>
      <c r="M804" s="582"/>
      <c r="N804" s="582"/>
      <c r="O804" s="582"/>
      <c r="P804" s="582"/>
      <c r="Q804" s="511"/>
      <c r="R804" s="511"/>
      <c r="S804" s="511"/>
      <c r="T804" s="639"/>
      <c r="U804" s="511"/>
      <c r="V804" s="511"/>
      <c r="W804" s="511"/>
      <c r="X804" s="511"/>
      <c r="Y804" s="380"/>
      <c r="Z804" s="380"/>
      <c r="AA804" s="380"/>
      <c r="AB804" s="380"/>
      <c r="AC804" s="380"/>
      <c r="AD804" s="671"/>
      <c r="AE804" s="380"/>
      <c r="AF804" s="380"/>
      <c r="AG804" s="380"/>
      <c r="AH804" s="671"/>
      <c r="AI804" s="380"/>
      <c r="AJ804" s="583"/>
      <c r="AK804" s="583"/>
      <c r="AL804" s="511"/>
      <c r="AM804" s="584"/>
      <c r="AN804" s="584"/>
      <c r="AO804" s="584"/>
      <c r="AP804" s="671"/>
      <c r="AQ804" s="584"/>
      <c r="AR804" s="583"/>
      <c r="AS804" s="583"/>
      <c r="AT804" s="585"/>
      <c r="AU804" s="585"/>
      <c r="AV804" s="585"/>
      <c r="AW804" s="585"/>
      <c r="AX804" s="673"/>
      <c r="AY804" s="380"/>
      <c r="AZ804" s="380"/>
      <c r="BA804" s="380"/>
      <c r="BB804" s="380"/>
      <c r="BC804" s="380"/>
      <c r="BD804" s="380"/>
      <c r="BE804" s="380"/>
      <c r="BF804" s="380"/>
      <c r="BG804" s="380"/>
      <c r="BH804" s="380"/>
      <c r="BI804" s="511"/>
      <c r="BJ804" s="380"/>
      <c r="BK804" s="380"/>
      <c r="BL804" s="380"/>
      <c r="BM804" s="380"/>
      <c r="BN804" s="380"/>
      <c r="BO804" s="380"/>
      <c r="BP804" s="380"/>
      <c r="BQ804" s="380"/>
      <c r="BR804" s="380"/>
    </row>
    <row r="805" spans="1:70" ht="12.75" customHeight="1" x14ac:dyDescent="0.25">
      <c r="A805" s="380"/>
      <c r="B805" s="380"/>
      <c r="C805" s="380"/>
      <c r="D805" s="380"/>
      <c r="E805" s="511"/>
      <c r="F805" s="511"/>
      <c r="G805" s="582"/>
      <c r="H805" s="511"/>
      <c r="I805" s="511"/>
      <c r="J805" s="582"/>
      <c r="K805" s="511"/>
      <c r="L805" s="511"/>
      <c r="M805" s="582"/>
      <c r="N805" s="582"/>
      <c r="O805" s="582"/>
      <c r="P805" s="582"/>
      <c r="Q805" s="511"/>
      <c r="R805" s="511"/>
      <c r="S805" s="511"/>
      <c r="T805" s="639"/>
      <c r="U805" s="511"/>
      <c r="V805" s="511"/>
      <c r="W805" s="511"/>
      <c r="X805" s="511"/>
      <c r="Y805" s="380"/>
      <c r="Z805" s="380"/>
      <c r="AA805" s="380"/>
      <c r="AB805" s="380"/>
      <c r="AC805" s="380"/>
      <c r="AD805" s="671"/>
      <c r="AE805" s="380"/>
      <c r="AF805" s="380"/>
      <c r="AG805" s="380"/>
      <c r="AH805" s="671"/>
      <c r="AI805" s="380"/>
      <c r="AJ805" s="583"/>
      <c r="AK805" s="583"/>
      <c r="AL805" s="511"/>
      <c r="AM805" s="584"/>
      <c r="AN805" s="584"/>
      <c r="AO805" s="584"/>
      <c r="AP805" s="671"/>
      <c r="AQ805" s="584"/>
      <c r="AR805" s="583"/>
      <c r="AS805" s="583"/>
      <c r="AT805" s="585"/>
      <c r="AU805" s="585"/>
      <c r="AV805" s="585"/>
      <c r="AW805" s="585"/>
      <c r="AX805" s="673"/>
      <c r="AY805" s="380"/>
      <c r="AZ805" s="380"/>
      <c r="BA805" s="380"/>
      <c r="BB805" s="380"/>
      <c r="BC805" s="380"/>
      <c r="BD805" s="380"/>
      <c r="BE805" s="380"/>
      <c r="BF805" s="380"/>
      <c r="BG805" s="380"/>
      <c r="BH805" s="380"/>
      <c r="BI805" s="511"/>
      <c r="BJ805" s="380"/>
      <c r="BK805" s="380"/>
      <c r="BL805" s="380"/>
      <c r="BM805" s="380"/>
      <c r="BN805" s="380"/>
      <c r="BO805" s="380"/>
      <c r="BP805" s="380"/>
      <c r="BQ805" s="380"/>
      <c r="BR805" s="380"/>
    </row>
    <row r="806" spans="1:70" ht="12.75" customHeight="1" x14ac:dyDescent="0.25">
      <c r="A806" s="380"/>
      <c r="B806" s="380"/>
      <c r="C806" s="380"/>
      <c r="D806" s="380"/>
      <c r="E806" s="511"/>
      <c r="F806" s="511"/>
      <c r="G806" s="582"/>
      <c r="H806" s="511"/>
      <c r="I806" s="511"/>
      <c r="J806" s="582"/>
      <c r="K806" s="511"/>
      <c r="L806" s="511"/>
      <c r="M806" s="582"/>
      <c r="N806" s="582"/>
      <c r="O806" s="582"/>
      <c r="P806" s="582"/>
      <c r="Q806" s="511"/>
      <c r="R806" s="511"/>
      <c r="S806" s="511"/>
      <c r="T806" s="639"/>
      <c r="U806" s="511"/>
      <c r="V806" s="511"/>
      <c r="W806" s="511"/>
      <c r="X806" s="511"/>
      <c r="Y806" s="380"/>
      <c r="Z806" s="380"/>
      <c r="AA806" s="380"/>
      <c r="AB806" s="380"/>
      <c r="AC806" s="380"/>
      <c r="AD806" s="671"/>
      <c r="AE806" s="380"/>
      <c r="AF806" s="380"/>
      <c r="AG806" s="380"/>
      <c r="AH806" s="671"/>
      <c r="AI806" s="380"/>
      <c r="AJ806" s="583"/>
      <c r="AK806" s="583"/>
      <c r="AL806" s="511"/>
      <c r="AM806" s="584"/>
      <c r="AN806" s="584"/>
      <c r="AO806" s="584"/>
      <c r="AP806" s="671"/>
      <c r="AQ806" s="584"/>
      <c r="AR806" s="583"/>
      <c r="AS806" s="583"/>
      <c r="AT806" s="585"/>
      <c r="AU806" s="585"/>
      <c r="AV806" s="585"/>
      <c r="AW806" s="585"/>
      <c r="AX806" s="673"/>
      <c r="AY806" s="380"/>
      <c r="AZ806" s="380"/>
      <c r="BA806" s="380"/>
      <c r="BB806" s="380"/>
      <c r="BC806" s="380"/>
      <c r="BD806" s="380"/>
      <c r="BE806" s="380"/>
      <c r="BF806" s="380"/>
      <c r="BG806" s="380"/>
      <c r="BH806" s="380"/>
      <c r="BI806" s="511"/>
      <c r="BJ806" s="380"/>
      <c r="BK806" s="380"/>
      <c r="BL806" s="380"/>
      <c r="BM806" s="380"/>
      <c r="BN806" s="380"/>
      <c r="BO806" s="380"/>
      <c r="BP806" s="380"/>
      <c r="BQ806" s="380"/>
      <c r="BR806" s="380"/>
    </row>
    <row r="807" spans="1:70" ht="12.75" customHeight="1" x14ac:dyDescent="0.25">
      <c r="A807" s="380"/>
      <c r="B807" s="380"/>
      <c r="C807" s="380"/>
      <c r="D807" s="380"/>
      <c r="E807" s="511"/>
      <c r="F807" s="511"/>
      <c r="G807" s="582"/>
      <c r="H807" s="511"/>
      <c r="I807" s="511"/>
      <c r="J807" s="582"/>
      <c r="K807" s="511"/>
      <c r="L807" s="511"/>
      <c r="M807" s="582"/>
      <c r="N807" s="582"/>
      <c r="O807" s="582"/>
      <c r="P807" s="582"/>
      <c r="Q807" s="511"/>
      <c r="R807" s="511"/>
      <c r="S807" s="511"/>
      <c r="T807" s="639"/>
      <c r="U807" s="511"/>
      <c r="V807" s="511"/>
      <c r="W807" s="511"/>
      <c r="X807" s="511"/>
      <c r="Y807" s="380"/>
      <c r="Z807" s="380"/>
      <c r="AA807" s="380"/>
      <c r="AB807" s="380"/>
      <c r="AC807" s="380"/>
      <c r="AD807" s="671"/>
      <c r="AE807" s="380"/>
      <c r="AF807" s="380"/>
      <c r="AG807" s="380"/>
      <c r="AH807" s="671"/>
      <c r="AI807" s="380"/>
      <c r="AJ807" s="583"/>
      <c r="AK807" s="583"/>
      <c r="AL807" s="511"/>
      <c r="AM807" s="584"/>
      <c r="AN807" s="584"/>
      <c r="AO807" s="584"/>
      <c r="AP807" s="671"/>
      <c r="AQ807" s="584"/>
      <c r="AR807" s="583"/>
      <c r="AS807" s="583"/>
      <c r="AT807" s="585"/>
      <c r="AU807" s="585"/>
      <c r="AV807" s="585"/>
      <c r="AW807" s="585"/>
      <c r="AX807" s="673"/>
      <c r="AY807" s="380"/>
      <c r="AZ807" s="380"/>
      <c r="BA807" s="380"/>
      <c r="BB807" s="380"/>
      <c r="BC807" s="380"/>
      <c r="BD807" s="380"/>
      <c r="BE807" s="380"/>
      <c r="BF807" s="380"/>
      <c r="BG807" s="380"/>
      <c r="BH807" s="380"/>
      <c r="BI807" s="511"/>
      <c r="BJ807" s="380"/>
      <c r="BK807" s="380"/>
      <c r="BL807" s="380"/>
      <c r="BM807" s="380"/>
      <c r="BN807" s="380"/>
      <c r="BO807" s="380"/>
      <c r="BP807" s="380"/>
      <c r="BQ807" s="380"/>
      <c r="BR807" s="380"/>
    </row>
    <row r="808" spans="1:70" ht="12.75" customHeight="1" x14ac:dyDescent="0.25">
      <c r="A808" s="380"/>
      <c r="B808" s="380"/>
      <c r="C808" s="380"/>
      <c r="D808" s="380"/>
      <c r="E808" s="511"/>
      <c r="F808" s="511"/>
      <c r="G808" s="582"/>
      <c r="H808" s="511"/>
      <c r="I808" s="511"/>
      <c r="J808" s="582"/>
      <c r="K808" s="511"/>
      <c r="L808" s="511"/>
      <c r="M808" s="582"/>
      <c r="N808" s="582"/>
      <c r="O808" s="582"/>
      <c r="P808" s="582"/>
      <c r="Q808" s="511"/>
      <c r="R808" s="511"/>
      <c r="S808" s="511"/>
      <c r="T808" s="639"/>
      <c r="U808" s="511"/>
      <c r="V808" s="511"/>
      <c r="W808" s="511"/>
      <c r="X808" s="511"/>
      <c r="Y808" s="380"/>
      <c r="Z808" s="380"/>
      <c r="AA808" s="380"/>
      <c r="AB808" s="380"/>
      <c r="AC808" s="380"/>
      <c r="AD808" s="671"/>
      <c r="AE808" s="380"/>
      <c r="AF808" s="380"/>
      <c r="AG808" s="380"/>
      <c r="AH808" s="671"/>
      <c r="AI808" s="380"/>
      <c r="AJ808" s="583"/>
      <c r="AK808" s="583"/>
      <c r="AL808" s="511"/>
      <c r="AM808" s="584"/>
      <c r="AN808" s="584"/>
      <c r="AO808" s="584"/>
      <c r="AP808" s="671"/>
      <c r="AQ808" s="584"/>
      <c r="AR808" s="583"/>
      <c r="AS808" s="583"/>
      <c r="AT808" s="585"/>
      <c r="AU808" s="585"/>
      <c r="AV808" s="585"/>
      <c r="AW808" s="585"/>
      <c r="AX808" s="673"/>
      <c r="AY808" s="380"/>
      <c r="AZ808" s="380"/>
      <c r="BA808" s="380"/>
      <c r="BB808" s="380"/>
      <c r="BC808" s="380"/>
      <c r="BD808" s="380"/>
      <c r="BE808" s="380"/>
      <c r="BF808" s="380"/>
      <c r="BG808" s="380"/>
      <c r="BH808" s="380"/>
      <c r="BI808" s="511"/>
      <c r="BJ808" s="380"/>
      <c r="BK808" s="380"/>
      <c r="BL808" s="380"/>
      <c r="BM808" s="380"/>
      <c r="BN808" s="380"/>
      <c r="BO808" s="380"/>
      <c r="BP808" s="380"/>
      <c r="BQ808" s="380"/>
      <c r="BR808" s="380"/>
    </row>
    <row r="809" spans="1:70" ht="12.75" customHeight="1" x14ac:dyDescent="0.25">
      <c r="A809" s="380"/>
      <c r="B809" s="380"/>
      <c r="C809" s="380"/>
      <c r="D809" s="380"/>
      <c r="E809" s="511"/>
      <c r="F809" s="511"/>
      <c r="G809" s="582"/>
      <c r="H809" s="511"/>
      <c r="I809" s="511"/>
      <c r="J809" s="582"/>
      <c r="K809" s="511"/>
      <c r="L809" s="511"/>
      <c r="M809" s="582"/>
      <c r="N809" s="582"/>
      <c r="O809" s="582"/>
      <c r="P809" s="582"/>
      <c r="Q809" s="511"/>
      <c r="R809" s="511"/>
      <c r="S809" s="511"/>
      <c r="T809" s="639"/>
      <c r="U809" s="511"/>
      <c r="V809" s="511"/>
      <c r="W809" s="511"/>
      <c r="X809" s="511"/>
      <c r="Y809" s="380"/>
      <c r="Z809" s="380"/>
      <c r="AA809" s="380"/>
      <c r="AB809" s="380"/>
      <c r="AC809" s="380"/>
      <c r="AD809" s="671"/>
      <c r="AE809" s="380"/>
      <c r="AF809" s="380"/>
      <c r="AG809" s="380"/>
      <c r="AH809" s="671"/>
      <c r="AI809" s="380"/>
      <c r="AJ809" s="583"/>
      <c r="AK809" s="583"/>
      <c r="AL809" s="511"/>
      <c r="AM809" s="584"/>
      <c r="AN809" s="584"/>
      <c r="AO809" s="584"/>
      <c r="AP809" s="671"/>
      <c r="AQ809" s="584"/>
      <c r="AR809" s="583"/>
      <c r="AS809" s="583"/>
      <c r="AT809" s="585"/>
      <c r="AU809" s="585"/>
      <c r="AV809" s="585"/>
      <c r="AW809" s="585"/>
      <c r="AX809" s="673"/>
      <c r="AY809" s="380"/>
      <c r="AZ809" s="380"/>
      <c r="BA809" s="380"/>
      <c r="BB809" s="380"/>
      <c r="BC809" s="380"/>
      <c r="BD809" s="380"/>
      <c r="BE809" s="380"/>
      <c r="BF809" s="380"/>
      <c r="BG809" s="380"/>
      <c r="BH809" s="380"/>
      <c r="BI809" s="511"/>
      <c r="BJ809" s="380"/>
      <c r="BK809" s="380"/>
      <c r="BL809" s="380"/>
      <c r="BM809" s="380"/>
      <c r="BN809" s="380"/>
      <c r="BO809" s="380"/>
      <c r="BP809" s="380"/>
      <c r="BQ809" s="380"/>
      <c r="BR809" s="380"/>
    </row>
    <row r="810" spans="1:70" ht="12.75" customHeight="1" x14ac:dyDescent="0.25">
      <c r="A810" s="380"/>
      <c r="B810" s="380"/>
      <c r="C810" s="380"/>
      <c r="D810" s="380"/>
      <c r="E810" s="511"/>
      <c r="F810" s="511"/>
      <c r="G810" s="582"/>
      <c r="H810" s="511"/>
      <c r="I810" s="511"/>
      <c r="J810" s="582"/>
      <c r="K810" s="511"/>
      <c r="L810" s="511"/>
      <c r="M810" s="582"/>
      <c r="N810" s="582"/>
      <c r="O810" s="582"/>
      <c r="P810" s="582"/>
      <c r="Q810" s="511"/>
      <c r="R810" s="511"/>
      <c r="S810" s="511"/>
      <c r="T810" s="639"/>
      <c r="U810" s="511"/>
      <c r="V810" s="511"/>
      <c r="W810" s="511"/>
      <c r="X810" s="511"/>
      <c r="Y810" s="380"/>
      <c r="Z810" s="380"/>
      <c r="AA810" s="380"/>
      <c r="AB810" s="380"/>
      <c r="AC810" s="380"/>
      <c r="AD810" s="671"/>
      <c r="AE810" s="380"/>
      <c r="AF810" s="380"/>
      <c r="AG810" s="380"/>
      <c r="AH810" s="671"/>
      <c r="AI810" s="380"/>
      <c r="AJ810" s="583"/>
      <c r="AK810" s="583"/>
      <c r="AL810" s="511"/>
      <c r="AM810" s="584"/>
      <c r="AN810" s="584"/>
      <c r="AO810" s="584"/>
      <c r="AP810" s="671"/>
      <c r="AQ810" s="584"/>
      <c r="AR810" s="583"/>
      <c r="AS810" s="583"/>
      <c r="AT810" s="585"/>
      <c r="AU810" s="585"/>
      <c r="AV810" s="585"/>
      <c r="AW810" s="585"/>
      <c r="AX810" s="673"/>
      <c r="AY810" s="380"/>
      <c r="AZ810" s="380"/>
      <c r="BA810" s="380"/>
      <c r="BB810" s="380"/>
      <c r="BC810" s="380"/>
      <c r="BD810" s="380"/>
      <c r="BE810" s="380"/>
      <c r="BF810" s="380"/>
      <c r="BG810" s="380"/>
      <c r="BH810" s="380"/>
      <c r="BI810" s="511"/>
      <c r="BJ810" s="380"/>
      <c r="BK810" s="380"/>
      <c r="BL810" s="380"/>
      <c r="BM810" s="380"/>
      <c r="BN810" s="380"/>
      <c r="BO810" s="380"/>
      <c r="BP810" s="380"/>
      <c r="BQ810" s="380"/>
      <c r="BR810" s="380"/>
    </row>
    <row r="811" spans="1:70" ht="12.75" customHeight="1" x14ac:dyDescent="0.25">
      <c r="A811" s="380"/>
      <c r="B811" s="380"/>
      <c r="C811" s="380"/>
      <c r="D811" s="380"/>
      <c r="E811" s="511"/>
      <c r="F811" s="511"/>
      <c r="G811" s="582"/>
      <c r="H811" s="511"/>
      <c r="I811" s="511"/>
      <c r="J811" s="582"/>
      <c r="K811" s="511"/>
      <c r="L811" s="511"/>
      <c r="M811" s="582"/>
      <c r="N811" s="582"/>
      <c r="O811" s="582"/>
      <c r="P811" s="582"/>
      <c r="Q811" s="511"/>
      <c r="R811" s="511"/>
      <c r="S811" s="511"/>
      <c r="T811" s="639"/>
      <c r="U811" s="511"/>
      <c r="V811" s="511"/>
      <c r="W811" s="511"/>
      <c r="X811" s="511"/>
      <c r="Y811" s="380"/>
      <c r="Z811" s="380"/>
      <c r="AA811" s="380"/>
      <c r="AB811" s="380"/>
      <c r="AC811" s="380"/>
      <c r="AD811" s="671"/>
      <c r="AE811" s="380"/>
      <c r="AF811" s="380"/>
      <c r="AG811" s="380"/>
      <c r="AH811" s="671"/>
      <c r="AI811" s="380"/>
      <c r="AJ811" s="583"/>
      <c r="AK811" s="583"/>
      <c r="AL811" s="511"/>
      <c r="AM811" s="584"/>
      <c r="AN811" s="584"/>
      <c r="AO811" s="584"/>
      <c r="AP811" s="671"/>
      <c r="AQ811" s="584"/>
      <c r="AR811" s="583"/>
      <c r="AS811" s="583"/>
      <c r="AT811" s="585"/>
      <c r="AU811" s="585"/>
      <c r="AV811" s="585"/>
      <c r="AW811" s="585"/>
      <c r="AX811" s="673"/>
      <c r="AY811" s="380"/>
      <c r="AZ811" s="380"/>
      <c r="BA811" s="380"/>
      <c r="BB811" s="380"/>
      <c r="BC811" s="380"/>
      <c r="BD811" s="380"/>
      <c r="BE811" s="380"/>
      <c r="BF811" s="380"/>
      <c r="BG811" s="380"/>
      <c r="BH811" s="380"/>
      <c r="BI811" s="511"/>
      <c r="BJ811" s="380"/>
      <c r="BK811" s="380"/>
      <c r="BL811" s="380"/>
      <c r="BM811" s="380"/>
      <c r="BN811" s="380"/>
      <c r="BO811" s="380"/>
      <c r="BP811" s="380"/>
      <c r="BQ811" s="380"/>
      <c r="BR811" s="380"/>
    </row>
    <row r="812" spans="1:70" ht="12.75" customHeight="1" x14ac:dyDescent="0.25">
      <c r="A812" s="380"/>
      <c r="B812" s="380"/>
      <c r="C812" s="380"/>
      <c r="D812" s="380"/>
      <c r="E812" s="511"/>
      <c r="F812" s="511"/>
      <c r="G812" s="582"/>
      <c r="H812" s="511"/>
      <c r="I812" s="511"/>
      <c r="J812" s="582"/>
      <c r="K812" s="511"/>
      <c r="L812" s="511"/>
      <c r="M812" s="582"/>
      <c r="N812" s="582"/>
      <c r="O812" s="582"/>
      <c r="P812" s="582"/>
      <c r="Q812" s="511"/>
      <c r="R812" s="511"/>
      <c r="S812" s="511"/>
      <c r="T812" s="639"/>
      <c r="U812" s="511"/>
      <c r="V812" s="511"/>
      <c r="W812" s="511"/>
      <c r="X812" s="511"/>
      <c r="Y812" s="380"/>
      <c r="Z812" s="380"/>
      <c r="AA812" s="380"/>
      <c r="AB812" s="380"/>
      <c r="AC812" s="380"/>
      <c r="AD812" s="671"/>
      <c r="AE812" s="380"/>
      <c r="AF812" s="380"/>
      <c r="AG812" s="380"/>
      <c r="AH812" s="671"/>
      <c r="AI812" s="380"/>
      <c r="AJ812" s="583"/>
      <c r="AK812" s="583"/>
      <c r="AL812" s="511"/>
      <c r="AM812" s="584"/>
      <c r="AN812" s="584"/>
      <c r="AO812" s="584"/>
      <c r="AP812" s="671"/>
      <c r="AQ812" s="584"/>
      <c r="AR812" s="583"/>
      <c r="AS812" s="583"/>
      <c r="AT812" s="585"/>
      <c r="AU812" s="585"/>
      <c r="AV812" s="585"/>
      <c r="AW812" s="585"/>
      <c r="AX812" s="673"/>
      <c r="AY812" s="380"/>
      <c r="AZ812" s="380"/>
      <c r="BA812" s="380"/>
      <c r="BB812" s="380"/>
      <c r="BC812" s="380"/>
      <c r="BD812" s="380"/>
      <c r="BE812" s="380"/>
      <c r="BF812" s="380"/>
      <c r="BG812" s="380"/>
      <c r="BH812" s="380"/>
      <c r="BI812" s="511"/>
      <c r="BJ812" s="380"/>
      <c r="BK812" s="380"/>
      <c r="BL812" s="380"/>
      <c r="BM812" s="380"/>
      <c r="BN812" s="380"/>
      <c r="BO812" s="380"/>
      <c r="BP812" s="380"/>
      <c r="BQ812" s="380"/>
      <c r="BR812" s="380"/>
    </row>
    <row r="813" spans="1:70" ht="12.75" customHeight="1" x14ac:dyDescent="0.25">
      <c r="A813" s="380"/>
      <c r="B813" s="380"/>
      <c r="C813" s="380"/>
      <c r="D813" s="380"/>
      <c r="E813" s="511"/>
      <c r="F813" s="511"/>
      <c r="G813" s="582"/>
      <c r="H813" s="511"/>
      <c r="I813" s="511"/>
      <c r="J813" s="582"/>
      <c r="K813" s="511"/>
      <c r="L813" s="511"/>
      <c r="M813" s="582"/>
      <c r="N813" s="582"/>
      <c r="O813" s="582"/>
      <c r="P813" s="582"/>
      <c r="Q813" s="511"/>
      <c r="R813" s="511"/>
      <c r="S813" s="511"/>
      <c r="T813" s="639"/>
      <c r="U813" s="511"/>
      <c r="V813" s="511"/>
      <c r="W813" s="511"/>
      <c r="X813" s="511"/>
      <c r="Y813" s="380"/>
      <c r="Z813" s="380"/>
      <c r="AA813" s="380"/>
      <c r="AB813" s="380"/>
      <c r="AC813" s="380"/>
      <c r="AD813" s="671"/>
      <c r="AE813" s="380"/>
      <c r="AF813" s="380"/>
      <c r="AG813" s="380"/>
      <c r="AH813" s="671"/>
      <c r="AI813" s="380"/>
      <c r="AJ813" s="583"/>
      <c r="AK813" s="583"/>
      <c r="AL813" s="511"/>
      <c r="AM813" s="584"/>
      <c r="AN813" s="584"/>
      <c r="AO813" s="584"/>
      <c r="AP813" s="671"/>
      <c r="AQ813" s="584"/>
      <c r="AR813" s="583"/>
      <c r="AS813" s="583"/>
      <c r="AT813" s="585"/>
      <c r="AU813" s="585"/>
      <c r="AV813" s="585"/>
      <c r="AW813" s="585"/>
      <c r="AX813" s="673"/>
      <c r="AY813" s="380"/>
      <c r="AZ813" s="380"/>
      <c r="BA813" s="380"/>
      <c r="BB813" s="380"/>
      <c r="BC813" s="380"/>
      <c r="BD813" s="380"/>
      <c r="BE813" s="380"/>
      <c r="BF813" s="380"/>
      <c r="BG813" s="380"/>
      <c r="BH813" s="380"/>
      <c r="BI813" s="511"/>
      <c r="BJ813" s="380"/>
      <c r="BK813" s="380"/>
      <c r="BL813" s="380"/>
      <c r="BM813" s="380"/>
      <c r="BN813" s="380"/>
      <c r="BO813" s="380"/>
      <c r="BP813" s="380"/>
      <c r="BQ813" s="380"/>
      <c r="BR813" s="380"/>
    </row>
    <row r="814" spans="1:70" ht="12.75" customHeight="1" x14ac:dyDescent="0.25">
      <c r="A814" s="380"/>
      <c r="B814" s="380"/>
      <c r="C814" s="380"/>
      <c r="D814" s="380"/>
      <c r="E814" s="511"/>
      <c r="F814" s="511"/>
      <c r="G814" s="582"/>
      <c r="H814" s="511"/>
      <c r="I814" s="511"/>
      <c r="J814" s="582"/>
      <c r="K814" s="511"/>
      <c r="L814" s="511"/>
      <c r="M814" s="582"/>
      <c r="N814" s="582"/>
      <c r="O814" s="582"/>
      <c r="P814" s="582"/>
      <c r="Q814" s="511"/>
      <c r="R814" s="511"/>
      <c r="S814" s="511"/>
      <c r="T814" s="639"/>
      <c r="U814" s="511"/>
      <c r="V814" s="511"/>
      <c r="W814" s="511"/>
      <c r="X814" s="511"/>
      <c r="Y814" s="380"/>
      <c r="Z814" s="380"/>
      <c r="AA814" s="380"/>
      <c r="AB814" s="380"/>
      <c r="AC814" s="380"/>
      <c r="AD814" s="671"/>
      <c r="AE814" s="380"/>
      <c r="AF814" s="380"/>
      <c r="AG814" s="380"/>
      <c r="AH814" s="671"/>
      <c r="AI814" s="380"/>
      <c r="AJ814" s="583"/>
      <c r="AK814" s="583"/>
      <c r="AL814" s="511"/>
      <c r="AM814" s="584"/>
      <c r="AN814" s="584"/>
      <c r="AO814" s="584"/>
      <c r="AP814" s="671"/>
      <c r="AQ814" s="584"/>
      <c r="AR814" s="583"/>
      <c r="AS814" s="583"/>
      <c r="AT814" s="585"/>
      <c r="AU814" s="585"/>
      <c r="AV814" s="585"/>
      <c r="AW814" s="585"/>
      <c r="AX814" s="673"/>
      <c r="AY814" s="380"/>
      <c r="AZ814" s="380"/>
      <c r="BA814" s="380"/>
      <c r="BB814" s="380"/>
      <c r="BC814" s="380"/>
      <c r="BD814" s="380"/>
      <c r="BE814" s="380"/>
      <c r="BF814" s="380"/>
      <c r="BG814" s="380"/>
      <c r="BH814" s="380"/>
      <c r="BI814" s="511"/>
      <c r="BJ814" s="380"/>
      <c r="BK814" s="380"/>
      <c r="BL814" s="380"/>
      <c r="BM814" s="380"/>
      <c r="BN814" s="380"/>
      <c r="BO814" s="380"/>
      <c r="BP814" s="380"/>
      <c r="BQ814" s="380"/>
      <c r="BR814" s="380"/>
    </row>
    <row r="815" spans="1:70" ht="12.75" customHeight="1" x14ac:dyDescent="0.25">
      <c r="A815" s="380"/>
      <c r="B815" s="380"/>
      <c r="C815" s="380"/>
      <c r="D815" s="380"/>
      <c r="E815" s="511"/>
      <c r="F815" s="511"/>
      <c r="G815" s="582"/>
      <c r="H815" s="511"/>
      <c r="I815" s="511"/>
      <c r="J815" s="582"/>
      <c r="K815" s="511"/>
      <c r="L815" s="511"/>
      <c r="M815" s="582"/>
      <c r="N815" s="582"/>
      <c r="O815" s="582"/>
      <c r="P815" s="582"/>
      <c r="Q815" s="511"/>
      <c r="R815" s="511"/>
      <c r="S815" s="511"/>
      <c r="T815" s="639"/>
      <c r="U815" s="511"/>
      <c r="V815" s="511"/>
      <c r="W815" s="511"/>
      <c r="X815" s="511"/>
      <c r="Y815" s="380"/>
      <c r="Z815" s="380"/>
      <c r="AA815" s="380"/>
      <c r="AB815" s="380"/>
      <c r="AC815" s="380"/>
      <c r="AD815" s="671"/>
      <c r="AE815" s="380"/>
      <c r="AF815" s="380"/>
      <c r="AG815" s="380"/>
      <c r="AH815" s="671"/>
      <c r="AI815" s="380"/>
      <c r="AJ815" s="583"/>
      <c r="AK815" s="583"/>
      <c r="AL815" s="511"/>
      <c r="AM815" s="584"/>
      <c r="AN815" s="584"/>
      <c r="AO815" s="584"/>
      <c r="AP815" s="671"/>
      <c r="AQ815" s="584"/>
      <c r="AR815" s="583"/>
      <c r="AS815" s="583"/>
      <c r="AT815" s="585"/>
      <c r="AU815" s="585"/>
      <c r="AV815" s="585"/>
      <c r="AW815" s="585"/>
      <c r="AX815" s="673"/>
      <c r="AY815" s="380"/>
      <c r="AZ815" s="380"/>
      <c r="BA815" s="380"/>
      <c r="BB815" s="380"/>
      <c r="BC815" s="380"/>
      <c r="BD815" s="380"/>
      <c r="BE815" s="380"/>
      <c r="BF815" s="380"/>
      <c r="BG815" s="380"/>
      <c r="BH815" s="380"/>
      <c r="BI815" s="511"/>
      <c r="BJ815" s="380"/>
      <c r="BK815" s="380"/>
      <c r="BL815" s="380"/>
      <c r="BM815" s="380"/>
      <c r="BN815" s="380"/>
      <c r="BO815" s="380"/>
      <c r="BP815" s="380"/>
      <c r="BQ815" s="380"/>
      <c r="BR815" s="380"/>
    </row>
    <row r="816" spans="1:70" ht="12.75" customHeight="1" x14ac:dyDescent="0.25">
      <c r="A816" s="380"/>
      <c r="B816" s="380"/>
      <c r="C816" s="380"/>
      <c r="D816" s="380"/>
      <c r="E816" s="511"/>
      <c r="F816" s="511"/>
      <c r="G816" s="582"/>
      <c r="H816" s="511"/>
      <c r="I816" s="511"/>
      <c r="J816" s="582"/>
      <c r="K816" s="511"/>
      <c r="L816" s="511"/>
      <c r="M816" s="582"/>
      <c r="N816" s="582"/>
      <c r="O816" s="582"/>
      <c r="P816" s="582"/>
      <c r="Q816" s="511"/>
      <c r="R816" s="511"/>
      <c r="S816" s="511"/>
      <c r="T816" s="639"/>
      <c r="U816" s="511"/>
      <c r="V816" s="511"/>
      <c r="W816" s="511"/>
      <c r="X816" s="511"/>
      <c r="Y816" s="380"/>
      <c r="Z816" s="380"/>
      <c r="AA816" s="380"/>
      <c r="AB816" s="380"/>
      <c r="AC816" s="380"/>
      <c r="AD816" s="671"/>
      <c r="AE816" s="380"/>
      <c r="AF816" s="380"/>
      <c r="AG816" s="380"/>
      <c r="AH816" s="671"/>
      <c r="AI816" s="380"/>
      <c r="AJ816" s="583"/>
      <c r="AK816" s="583"/>
      <c r="AL816" s="511"/>
      <c r="AM816" s="584"/>
      <c r="AN816" s="584"/>
      <c r="AO816" s="584"/>
      <c r="AP816" s="671"/>
      <c r="AQ816" s="584"/>
      <c r="AR816" s="583"/>
      <c r="AS816" s="583"/>
      <c r="AT816" s="585"/>
      <c r="AU816" s="585"/>
      <c r="AV816" s="585"/>
      <c r="AW816" s="585"/>
      <c r="AX816" s="673"/>
      <c r="AY816" s="380"/>
      <c r="AZ816" s="380"/>
      <c r="BA816" s="380"/>
      <c r="BB816" s="380"/>
      <c r="BC816" s="380"/>
      <c r="BD816" s="380"/>
      <c r="BE816" s="380"/>
      <c r="BF816" s="380"/>
      <c r="BG816" s="380"/>
      <c r="BH816" s="380"/>
      <c r="BI816" s="511"/>
      <c r="BJ816" s="380"/>
      <c r="BK816" s="380"/>
      <c r="BL816" s="380"/>
      <c r="BM816" s="380"/>
      <c r="BN816" s="380"/>
      <c r="BO816" s="380"/>
      <c r="BP816" s="380"/>
      <c r="BQ816" s="380"/>
      <c r="BR816" s="380"/>
    </row>
    <row r="817" spans="1:70" ht="12.75" customHeight="1" x14ac:dyDescent="0.25">
      <c r="A817" s="380"/>
      <c r="B817" s="380"/>
      <c r="C817" s="380"/>
      <c r="D817" s="380"/>
      <c r="E817" s="511"/>
      <c r="F817" s="511"/>
      <c r="G817" s="582"/>
      <c r="H817" s="511"/>
      <c r="I817" s="511"/>
      <c r="J817" s="582"/>
      <c r="K817" s="511"/>
      <c r="L817" s="511"/>
      <c r="M817" s="582"/>
      <c r="N817" s="582"/>
      <c r="O817" s="582"/>
      <c r="P817" s="582"/>
      <c r="Q817" s="511"/>
      <c r="R817" s="511"/>
      <c r="S817" s="511"/>
      <c r="T817" s="639"/>
      <c r="U817" s="511"/>
      <c r="V817" s="511"/>
      <c r="W817" s="511"/>
      <c r="X817" s="511"/>
      <c r="Y817" s="380"/>
      <c r="Z817" s="380"/>
      <c r="AA817" s="380"/>
      <c r="AB817" s="380"/>
      <c r="AC817" s="380"/>
      <c r="AD817" s="671"/>
      <c r="AE817" s="380"/>
      <c r="AF817" s="380"/>
      <c r="AG817" s="380"/>
      <c r="AH817" s="671"/>
      <c r="AI817" s="380"/>
      <c r="AJ817" s="583"/>
      <c r="AK817" s="583"/>
      <c r="AL817" s="511"/>
      <c r="AM817" s="584"/>
      <c r="AN817" s="584"/>
      <c r="AO817" s="584"/>
      <c r="AP817" s="671"/>
      <c r="AQ817" s="584"/>
      <c r="AR817" s="583"/>
      <c r="AS817" s="583"/>
      <c r="AT817" s="585"/>
      <c r="AU817" s="585"/>
      <c r="AV817" s="585"/>
      <c r="AW817" s="585"/>
      <c r="AX817" s="673"/>
      <c r="AY817" s="380"/>
      <c r="AZ817" s="380"/>
      <c r="BA817" s="380"/>
      <c r="BB817" s="380"/>
      <c r="BC817" s="380"/>
      <c r="BD817" s="380"/>
      <c r="BE817" s="380"/>
      <c r="BF817" s="380"/>
      <c r="BG817" s="380"/>
      <c r="BH817" s="380"/>
      <c r="BI817" s="511"/>
      <c r="BJ817" s="380"/>
      <c r="BK817" s="380"/>
      <c r="BL817" s="380"/>
      <c r="BM817" s="380"/>
      <c r="BN817" s="380"/>
      <c r="BO817" s="380"/>
      <c r="BP817" s="380"/>
      <c r="BQ817" s="380"/>
      <c r="BR817" s="380"/>
    </row>
    <row r="818" spans="1:70" ht="12.75" customHeight="1" x14ac:dyDescent="0.25">
      <c r="A818" s="380"/>
      <c r="B818" s="380"/>
      <c r="C818" s="380"/>
      <c r="D818" s="380"/>
      <c r="E818" s="511"/>
      <c r="F818" s="511"/>
      <c r="G818" s="582"/>
      <c r="H818" s="511"/>
      <c r="I818" s="511"/>
      <c r="J818" s="582"/>
      <c r="K818" s="511"/>
      <c r="L818" s="511"/>
      <c r="M818" s="582"/>
      <c r="N818" s="582"/>
      <c r="O818" s="582"/>
      <c r="P818" s="582"/>
      <c r="Q818" s="511"/>
      <c r="R818" s="511"/>
      <c r="S818" s="511"/>
      <c r="T818" s="639"/>
      <c r="U818" s="511"/>
      <c r="V818" s="511"/>
      <c r="W818" s="511"/>
      <c r="X818" s="511"/>
      <c r="Y818" s="380"/>
      <c r="Z818" s="380"/>
      <c r="AA818" s="380"/>
      <c r="AB818" s="380"/>
      <c r="AC818" s="380"/>
      <c r="AD818" s="671"/>
      <c r="AE818" s="380"/>
      <c r="AF818" s="380"/>
      <c r="AG818" s="380"/>
      <c r="AH818" s="671"/>
      <c r="AI818" s="380"/>
      <c r="AJ818" s="583"/>
      <c r="AK818" s="583"/>
      <c r="AL818" s="511"/>
      <c r="AM818" s="584"/>
      <c r="AN818" s="584"/>
      <c r="AO818" s="584"/>
      <c r="AP818" s="671"/>
      <c r="AQ818" s="584"/>
      <c r="AR818" s="583"/>
      <c r="AS818" s="583"/>
      <c r="AT818" s="585"/>
      <c r="AU818" s="585"/>
      <c r="AV818" s="585"/>
      <c r="AW818" s="585"/>
      <c r="AX818" s="673"/>
      <c r="AY818" s="380"/>
      <c r="AZ818" s="380"/>
      <c r="BA818" s="380"/>
      <c r="BB818" s="380"/>
      <c r="BC818" s="380"/>
      <c r="BD818" s="380"/>
      <c r="BE818" s="380"/>
      <c r="BF818" s="380"/>
      <c r="BG818" s="380"/>
      <c r="BH818" s="380"/>
      <c r="BI818" s="511"/>
      <c r="BJ818" s="380"/>
      <c r="BK818" s="380"/>
      <c r="BL818" s="380"/>
      <c r="BM818" s="380"/>
      <c r="BN818" s="380"/>
      <c r="BO818" s="380"/>
      <c r="BP818" s="380"/>
      <c r="BQ818" s="380"/>
      <c r="BR818" s="380"/>
    </row>
    <row r="819" spans="1:70" ht="12.75" customHeight="1" x14ac:dyDescent="0.25">
      <c r="A819" s="380"/>
      <c r="B819" s="380"/>
      <c r="C819" s="380"/>
      <c r="D819" s="380"/>
      <c r="E819" s="511"/>
      <c r="F819" s="511"/>
      <c r="G819" s="582"/>
      <c r="H819" s="511"/>
      <c r="I819" s="511"/>
      <c r="J819" s="582"/>
      <c r="K819" s="511"/>
      <c r="L819" s="511"/>
      <c r="M819" s="582"/>
      <c r="N819" s="582"/>
      <c r="O819" s="582"/>
      <c r="P819" s="582"/>
      <c r="Q819" s="511"/>
      <c r="R819" s="511"/>
      <c r="S819" s="511"/>
      <c r="T819" s="639"/>
      <c r="U819" s="511"/>
      <c r="V819" s="511"/>
      <c r="W819" s="511"/>
      <c r="X819" s="511"/>
      <c r="Y819" s="380"/>
      <c r="Z819" s="380"/>
      <c r="AA819" s="380"/>
      <c r="AB819" s="380"/>
      <c r="AC819" s="380"/>
      <c r="AD819" s="671"/>
      <c r="AE819" s="380"/>
      <c r="AF819" s="380"/>
      <c r="AG819" s="380"/>
      <c r="AH819" s="671"/>
      <c r="AI819" s="380"/>
      <c r="AJ819" s="583"/>
      <c r="AK819" s="583"/>
      <c r="AL819" s="511"/>
      <c r="AM819" s="584"/>
      <c r="AN819" s="584"/>
      <c r="AO819" s="584"/>
      <c r="AP819" s="671"/>
      <c r="AQ819" s="584"/>
      <c r="AR819" s="583"/>
      <c r="AS819" s="583"/>
      <c r="AT819" s="585"/>
      <c r="AU819" s="585"/>
      <c r="AV819" s="585"/>
      <c r="AW819" s="585"/>
      <c r="AX819" s="673"/>
      <c r="AY819" s="380"/>
      <c r="AZ819" s="380"/>
      <c r="BA819" s="380"/>
      <c r="BB819" s="380"/>
      <c r="BC819" s="380"/>
      <c r="BD819" s="380"/>
      <c r="BE819" s="380"/>
      <c r="BF819" s="380"/>
      <c r="BG819" s="380"/>
      <c r="BH819" s="380"/>
      <c r="BI819" s="511"/>
      <c r="BJ819" s="380"/>
      <c r="BK819" s="380"/>
      <c r="BL819" s="380"/>
      <c r="BM819" s="380"/>
      <c r="BN819" s="380"/>
      <c r="BO819" s="380"/>
      <c r="BP819" s="380"/>
      <c r="BQ819" s="380"/>
      <c r="BR819" s="380"/>
    </row>
    <row r="820" spans="1:70" ht="12.75" customHeight="1" x14ac:dyDescent="0.25">
      <c r="A820" s="380"/>
      <c r="B820" s="380"/>
      <c r="C820" s="380"/>
      <c r="D820" s="380"/>
      <c r="E820" s="511"/>
      <c r="F820" s="511"/>
      <c r="G820" s="582"/>
      <c r="H820" s="511"/>
      <c r="I820" s="511"/>
      <c r="J820" s="582"/>
      <c r="K820" s="511"/>
      <c r="L820" s="511"/>
      <c r="M820" s="582"/>
      <c r="N820" s="582"/>
      <c r="O820" s="582"/>
      <c r="P820" s="582"/>
      <c r="Q820" s="511"/>
      <c r="R820" s="511"/>
      <c r="S820" s="511"/>
      <c r="T820" s="639"/>
      <c r="U820" s="511"/>
      <c r="V820" s="511"/>
      <c r="W820" s="511"/>
      <c r="X820" s="511"/>
      <c r="Y820" s="380"/>
      <c r="Z820" s="380"/>
      <c r="AA820" s="380"/>
      <c r="AB820" s="380"/>
      <c r="AC820" s="380"/>
      <c r="AD820" s="671"/>
      <c r="AE820" s="380"/>
      <c r="AF820" s="380"/>
      <c r="AG820" s="380"/>
      <c r="AH820" s="671"/>
      <c r="AI820" s="380"/>
      <c r="AJ820" s="583"/>
      <c r="AK820" s="583"/>
      <c r="AL820" s="511"/>
      <c r="AM820" s="584"/>
      <c r="AN820" s="584"/>
      <c r="AO820" s="584"/>
      <c r="AP820" s="671"/>
      <c r="AQ820" s="584"/>
      <c r="AR820" s="583"/>
      <c r="AS820" s="583"/>
      <c r="AT820" s="585"/>
      <c r="AU820" s="585"/>
      <c r="AV820" s="585"/>
      <c r="AW820" s="585"/>
      <c r="AX820" s="673"/>
      <c r="AY820" s="380"/>
      <c r="AZ820" s="380"/>
      <c r="BA820" s="380"/>
      <c r="BB820" s="380"/>
      <c r="BC820" s="380"/>
      <c r="BD820" s="380"/>
      <c r="BE820" s="380"/>
      <c r="BF820" s="380"/>
      <c r="BG820" s="380"/>
      <c r="BH820" s="380"/>
      <c r="BI820" s="511"/>
      <c r="BJ820" s="380"/>
      <c r="BK820" s="380"/>
      <c r="BL820" s="380"/>
      <c r="BM820" s="380"/>
      <c r="BN820" s="380"/>
      <c r="BO820" s="380"/>
      <c r="BP820" s="380"/>
      <c r="BQ820" s="380"/>
      <c r="BR820" s="380"/>
    </row>
    <row r="821" spans="1:70" ht="12.75" customHeight="1" x14ac:dyDescent="0.25">
      <c r="A821" s="380"/>
      <c r="B821" s="380"/>
      <c r="C821" s="380"/>
      <c r="D821" s="380"/>
      <c r="E821" s="511"/>
      <c r="F821" s="511"/>
      <c r="G821" s="582"/>
      <c r="H821" s="511"/>
      <c r="I821" s="511"/>
      <c r="J821" s="582"/>
      <c r="K821" s="511"/>
      <c r="L821" s="511"/>
      <c r="M821" s="582"/>
      <c r="N821" s="582"/>
      <c r="O821" s="582"/>
      <c r="P821" s="582"/>
      <c r="Q821" s="511"/>
      <c r="R821" s="511"/>
      <c r="S821" s="511"/>
      <c r="T821" s="639"/>
      <c r="U821" s="511"/>
      <c r="V821" s="511"/>
      <c r="W821" s="511"/>
      <c r="X821" s="511"/>
      <c r="Y821" s="380"/>
      <c r="Z821" s="380"/>
      <c r="AA821" s="380"/>
      <c r="AB821" s="380"/>
      <c r="AC821" s="380"/>
      <c r="AD821" s="671"/>
      <c r="AE821" s="380"/>
      <c r="AF821" s="380"/>
      <c r="AG821" s="380"/>
      <c r="AH821" s="671"/>
      <c r="AI821" s="380"/>
      <c r="AJ821" s="583"/>
      <c r="AK821" s="583"/>
      <c r="AL821" s="511"/>
      <c r="AM821" s="584"/>
      <c r="AN821" s="584"/>
      <c r="AO821" s="584"/>
      <c r="AP821" s="671"/>
      <c r="AQ821" s="584"/>
      <c r="AR821" s="583"/>
      <c r="AS821" s="583"/>
      <c r="AT821" s="585"/>
      <c r="AU821" s="585"/>
      <c r="AV821" s="585"/>
      <c r="AW821" s="585"/>
      <c r="AX821" s="673"/>
      <c r="AY821" s="380"/>
      <c r="AZ821" s="380"/>
      <c r="BA821" s="380"/>
      <c r="BB821" s="380"/>
      <c r="BC821" s="380"/>
      <c r="BD821" s="380"/>
      <c r="BE821" s="380"/>
      <c r="BF821" s="380"/>
      <c r="BG821" s="380"/>
      <c r="BH821" s="380"/>
      <c r="BI821" s="511"/>
      <c r="BJ821" s="380"/>
      <c r="BK821" s="380"/>
      <c r="BL821" s="380"/>
      <c r="BM821" s="380"/>
      <c r="BN821" s="380"/>
      <c r="BO821" s="380"/>
      <c r="BP821" s="380"/>
      <c r="BQ821" s="380"/>
      <c r="BR821" s="380"/>
    </row>
    <row r="822" spans="1:70" ht="12.75" customHeight="1" x14ac:dyDescent="0.25">
      <c r="A822" s="380"/>
      <c r="B822" s="380"/>
      <c r="C822" s="380"/>
      <c r="D822" s="380"/>
      <c r="E822" s="511"/>
      <c r="F822" s="511"/>
      <c r="G822" s="582"/>
      <c r="H822" s="511"/>
      <c r="I822" s="511"/>
      <c r="J822" s="582"/>
      <c r="K822" s="511"/>
      <c r="L822" s="511"/>
      <c r="M822" s="582"/>
      <c r="N822" s="582"/>
      <c r="O822" s="582"/>
      <c r="P822" s="582"/>
      <c r="Q822" s="511"/>
      <c r="R822" s="511"/>
      <c r="S822" s="511"/>
      <c r="T822" s="639"/>
      <c r="U822" s="511"/>
      <c r="V822" s="511"/>
      <c r="W822" s="511"/>
      <c r="X822" s="511"/>
      <c r="Y822" s="380"/>
      <c r="Z822" s="380"/>
      <c r="AA822" s="380"/>
      <c r="AB822" s="380"/>
      <c r="AC822" s="380"/>
      <c r="AD822" s="671"/>
      <c r="AE822" s="380"/>
      <c r="AF822" s="380"/>
      <c r="AG822" s="380"/>
      <c r="AH822" s="671"/>
      <c r="AI822" s="380"/>
      <c r="AJ822" s="583"/>
      <c r="AK822" s="583"/>
      <c r="AL822" s="511"/>
      <c r="AM822" s="584"/>
      <c r="AN822" s="584"/>
      <c r="AO822" s="584"/>
      <c r="AP822" s="671"/>
      <c r="AQ822" s="584"/>
      <c r="AR822" s="583"/>
      <c r="AS822" s="583"/>
      <c r="AT822" s="585"/>
      <c r="AU822" s="585"/>
      <c r="AV822" s="585"/>
      <c r="AW822" s="585"/>
      <c r="AX822" s="673"/>
      <c r="AY822" s="380"/>
      <c r="AZ822" s="380"/>
      <c r="BA822" s="380"/>
      <c r="BB822" s="380"/>
      <c r="BC822" s="380"/>
      <c r="BD822" s="380"/>
      <c r="BE822" s="380"/>
      <c r="BF822" s="380"/>
      <c r="BG822" s="380"/>
      <c r="BH822" s="380"/>
      <c r="BI822" s="511"/>
      <c r="BJ822" s="380"/>
      <c r="BK822" s="380"/>
      <c r="BL822" s="380"/>
      <c r="BM822" s="380"/>
      <c r="BN822" s="380"/>
      <c r="BO822" s="380"/>
      <c r="BP822" s="380"/>
      <c r="BQ822" s="380"/>
      <c r="BR822" s="380"/>
    </row>
    <row r="823" spans="1:70" ht="12.75" customHeight="1" x14ac:dyDescent="0.25">
      <c r="A823" s="380"/>
      <c r="B823" s="380"/>
      <c r="C823" s="380"/>
      <c r="D823" s="380"/>
      <c r="E823" s="511"/>
      <c r="F823" s="511"/>
      <c r="G823" s="582"/>
      <c r="H823" s="511"/>
      <c r="I823" s="511"/>
      <c r="J823" s="582"/>
      <c r="K823" s="511"/>
      <c r="L823" s="511"/>
      <c r="M823" s="582"/>
      <c r="N823" s="582"/>
      <c r="O823" s="582"/>
      <c r="P823" s="582"/>
      <c r="Q823" s="511"/>
      <c r="R823" s="511"/>
      <c r="S823" s="511"/>
      <c r="T823" s="639"/>
      <c r="U823" s="511"/>
      <c r="V823" s="511"/>
      <c r="W823" s="511"/>
      <c r="X823" s="511"/>
      <c r="Y823" s="380"/>
      <c r="Z823" s="380"/>
      <c r="AA823" s="380"/>
      <c r="AB823" s="380"/>
      <c r="AC823" s="380"/>
      <c r="AD823" s="671"/>
      <c r="AE823" s="380"/>
      <c r="AF823" s="380"/>
      <c r="AG823" s="380"/>
      <c r="AH823" s="671"/>
      <c r="AI823" s="380"/>
      <c r="AJ823" s="583"/>
      <c r="AK823" s="583"/>
      <c r="AL823" s="511"/>
      <c r="AM823" s="584"/>
      <c r="AN823" s="584"/>
      <c r="AO823" s="584"/>
      <c r="AP823" s="671"/>
      <c r="AQ823" s="584"/>
      <c r="AR823" s="583"/>
      <c r="AS823" s="583"/>
      <c r="AT823" s="585"/>
      <c r="AU823" s="585"/>
      <c r="AV823" s="585"/>
      <c r="AW823" s="585"/>
      <c r="AX823" s="673"/>
      <c r="AY823" s="380"/>
      <c r="AZ823" s="380"/>
      <c r="BA823" s="380"/>
      <c r="BB823" s="380"/>
      <c r="BC823" s="380"/>
      <c r="BD823" s="380"/>
      <c r="BE823" s="380"/>
      <c r="BF823" s="380"/>
      <c r="BG823" s="380"/>
      <c r="BH823" s="380"/>
      <c r="BI823" s="511"/>
      <c r="BJ823" s="380"/>
      <c r="BK823" s="380"/>
      <c r="BL823" s="380"/>
      <c r="BM823" s="380"/>
      <c r="BN823" s="380"/>
      <c r="BO823" s="380"/>
      <c r="BP823" s="380"/>
      <c r="BQ823" s="380"/>
      <c r="BR823" s="380"/>
    </row>
    <row r="824" spans="1:70" ht="12.75" customHeight="1" x14ac:dyDescent="0.25">
      <c r="A824" s="380"/>
      <c r="B824" s="380"/>
      <c r="C824" s="380"/>
      <c r="D824" s="380"/>
      <c r="E824" s="511"/>
      <c r="F824" s="511"/>
      <c r="G824" s="582"/>
      <c r="H824" s="511"/>
      <c r="I824" s="511"/>
      <c r="J824" s="582"/>
      <c r="K824" s="511"/>
      <c r="L824" s="511"/>
      <c r="M824" s="582"/>
      <c r="N824" s="582"/>
      <c r="O824" s="582"/>
      <c r="P824" s="582"/>
      <c r="Q824" s="511"/>
      <c r="R824" s="511"/>
      <c r="S824" s="511"/>
      <c r="T824" s="639"/>
      <c r="U824" s="511"/>
      <c r="V824" s="511"/>
      <c r="W824" s="511"/>
      <c r="X824" s="511"/>
      <c r="Y824" s="380"/>
      <c r="Z824" s="380"/>
      <c r="AA824" s="380"/>
      <c r="AB824" s="380"/>
      <c r="AC824" s="380"/>
      <c r="AD824" s="671"/>
      <c r="AE824" s="380"/>
      <c r="AF824" s="380"/>
      <c r="AG824" s="380"/>
      <c r="AH824" s="671"/>
      <c r="AI824" s="380"/>
      <c r="AJ824" s="583"/>
      <c r="AK824" s="583"/>
      <c r="AL824" s="511"/>
      <c r="AM824" s="584"/>
      <c r="AN824" s="584"/>
      <c r="AO824" s="584"/>
      <c r="AP824" s="671"/>
      <c r="AQ824" s="584"/>
      <c r="AR824" s="583"/>
      <c r="AS824" s="583"/>
      <c r="AT824" s="585"/>
      <c r="AU824" s="585"/>
      <c r="AV824" s="585"/>
      <c r="AW824" s="585"/>
      <c r="AX824" s="673"/>
      <c r="AY824" s="380"/>
      <c r="AZ824" s="380"/>
      <c r="BA824" s="380"/>
      <c r="BB824" s="380"/>
      <c r="BC824" s="380"/>
      <c r="BD824" s="380"/>
      <c r="BE824" s="380"/>
      <c r="BF824" s="380"/>
      <c r="BG824" s="380"/>
      <c r="BH824" s="380"/>
      <c r="BI824" s="511"/>
      <c r="BJ824" s="380"/>
      <c r="BK824" s="380"/>
      <c r="BL824" s="380"/>
      <c r="BM824" s="380"/>
      <c r="BN824" s="380"/>
      <c r="BO824" s="380"/>
      <c r="BP824" s="380"/>
      <c r="BQ824" s="380"/>
      <c r="BR824" s="380"/>
    </row>
    <row r="825" spans="1:70" ht="12.75" customHeight="1" x14ac:dyDescent="0.25">
      <c r="A825" s="380"/>
      <c r="B825" s="380"/>
      <c r="C825" s="380"/>
      <c r="D825" s="380"/>
      <c r="E825" s="511"/>
      <c r="F825" s="511"/>
      <c r="G825" s="582"/>
      <c r="H825" s="511"/>
      <c r="I825" s="511"/>
      <c r="J825" s="582"/>
      <c r="K825" s="511"/>
      <c r="L825" s="511"/>
      <c r="M825" s="582"/>
      <c r="N825" s="582"/>
      <c r="O825" s="582"/>
      <c r="P825" s="582"/>
      <c r="Q825" s="511"/>
      <c r="R825" s="511"/>
      <c r="S825" s="511"/>
      <c r="T825" s="639"/>
      <c r="U825" s="511"/>
      <c r="V825" s="511"/>
      <c r="W825" s="511"/>
      <c r="X825" s="511"/>
      <c r="Y825" s="380"/>
      <c r="Z825" s="380"/>
      <c r="AA825" s="380"/>
      <c r="AB825" s="380"/>
      <c r="AC825" s="380"/>
      <c r="AD825" s="671"/>
      <c r="AE825" s="380"/>
      <c r="AF825" s="380"/>
      <c r="AG825" s="380"/>
      <c r="AH825" s="671"/>
      <c r="AI825" s="380"/>
      <c r="AJ825" s="583"/>
      <c r="AK825" s="583"/>
      <c r="AL825" s="511"/>
      <c r="AM825" s="584"/>
      <c r="AN825" s="584"/>
      <c r="AO825" s="584"/>
      <c r="AP825" s="671"/>
      <c r="AQ825" s="584"/>
      <c r="AR825" s="583"/>
      <c r="AS825" s="583"/>
      <c r="AT825" s="585"/>
      <c r="AU825" s="585"/>
      <c r="AV825" s="585"/>
      <c r="AW825" s="585"/>
      <c r="AX825" s="673"/>
      <c r="AY825" s="380"/>
      <c r="AZ825" s="380"/>
      <c r="BA825" s="380"/>
      <c r="BB825" s="380"/>
      <c r="BC825" s="380"/>
      <c r="BD825" s="380"/>
      <c r="BE825" s="380"/>
      <c r="BF825" s="380"/>
      <c r="BG825" s="380"/>
      <c r="BH825" s="380"/>
      <c r="BI825" s="511"/>
      <c r="BJ825" s="380"/>
      <c r="BK825" s="380"/>
      <c r="BL825" s="380"/>
      <c r="BM825" s="380"/>
      <c r="BN825" s="380"/>
      <c r="BO825" s="380"/>
      <c r="BP825" s="380"/>
      <c r="BQ825" s="380"/>
      <c r="BR825" s="380"/>
    </row>
    <row r="826" spans="1:70" ht="12.75" customHeight="1" x14ac:dyDescent="0.25">
      <c r="A826" s="380"/>
      <c r="B826" s="380"/>
      <c r="C826" s="380"/>
      <c r="D826" s="380"/>
      <c r="E826" s="511"/>
      <c r="F826" s="511"/>
      <c r="G826" s="582"/>
      <c r="H826" s="511"/>
      <c r="I826" s="511"/>
      <c r="J826" s="582"/>
      <c r="K826" s="511"/>
      <c r="L826" s="511"/>
      <c r="M826" s="582"/>
      <c r="N826" s="582"/>
      <c r="O826" s="582"/>
      <c r="P826" s="582"/>
      <c r="Q826" s="511"/>
      <c r="R826" s="511"/>
      <c r="S826" s="511"/>
      <c r="T826" s="639"/>
      <c r="U826" s="511"/>
      <c r="V826" s="511"/>
      <c r="W826" s="511"/>
      <c r="X826" s="511"/>
      <c r="Y826" s="380"/>
      <c r="Z826" s="380"/>
      <c r="AA826" s="380"/>
      <c r="AB826" s="380"/>
      <c r="AC826" s="380"/>
      <c r="AD826" s="671"/>
      <c r="AE826" s="380"/>
      <c r="AF826" s="380"/>
      <c r="AG826" s="380"/>
      <c r="AH826" s="671"/>
      <c r="AI826" s="380"/>
      <c r="AJ826" s="583"/>
      <c r="AK826" s="583"/>
      <c r="AL826" s="511"/>
      <c r="AM826" s="584"/>
      <c r="AN826" s="584"/>
      <c r="AO826" s="584"/>
      <c r="AP826" s="671"/>
      <c r="AQ826" s="584"/>
      <c r="AR826" s="583"/>
      <c r="AS826" s="583"/>
      <c r="AT826" s="585"/>
      <c r="AU826" s="585"/>
      <c r="AV826" s="585"/>
      <c r="AW826" s="585"/>
      <c r="AX826" s="673"/>
      <c r="AY826" s="380"/>
      <c r="AZ826" s="380"/>
      <c r="BA826" s="380"/>
      <c r="BB826" s="380"/>
      <c r="BC826" s="380"/>
      <c r="BD826" s="380"/>
      <c r="BE826" s="380"/>
      <c r="BF826" s="380"/>
      <c r="BG826" s="380"/>
      <c r="BH826" s="380"/>
      <c r="BI826" s="511"/>
      <c r="BJ826" s="380"/>
      <c r="BK826" s="380"/>
      <c r="BL826" s="380"/>
      <c r="BM826" s="380"/>
      <c r="BN826" s="380"/>
      <c r="BO826" s="380"/>
      <c r="BP826" s="380"/>
      <c r="BQ826" s="380"/>
      <c r="BR826" s="380"/>
    </row>
    <row r="827" spans="1:70" ht="12.75" customHeight="1" x14ac:dyDescent="0.25">
      <c r="A827" s="380"/>
      <c r="B827" s="380"/>
      <c r="C827" s="380"/>
      <c r="D827" s="380"/>
      <c r="E827" s="511"/>
      <c r="F827" s="511"/>
      <c r="G827" s="582"/>
      <c r="H827" s="511"/>
      <c r="I827" s="511"/>
      <c r="J827" s="582"/>
      <c r="K827" s="511"/>
      <c r="L827" s="511"/>
      <c r="M827" s="582"/>
      <c r="N827" s="582"/>
      <c r="O827" s="582"/>
      <c r="P827" s="582"/>
      <c r="Q827" s="511"/>
      <c r="R827" s="511"/>
      <c r="S827" s="511"/>
      <c r="T827" s="639"/>
      <c r="U827" s="511"/>
      <c r="V827" s="511"/>
      <c r="W827" s="511"/>
      <c r="X827" s="511"/>
      <c r="Y827" s="380"/>
      <c r="Z827" s="380"/>
      <c r="AA827" s="380"/>
      <c r="AB827" s="380"/>
      <c r="AC827" s="380"/>
      <c r="AD827" s="671"/>
      <c r="AE827" s="380"/>
      <c r="AF827" s="380"/>
      <c r="AG827" s="380"/>
      <c r="AH827" s="671"/>
      <c r="AI827" s="380"/>
      <c r="AJ827" s="583"/>
      <c r="AK827" s="583"/>
      <c r="AL827" s="511"/>
      <c r="AM827" s="584"/>
      <c r="AN827" s="584"/>
      <c r="AO827" s="584"/>
      <c r="AP827" s="671"/>
      <c r="AQ827" s="584"/>
      <c r="AR827" s="583"/>
      <c r="AS827" s="583"/>
      <c r="AT827" s="585"/>
      <c r="AU827" s="585"/>
      <c r="AV827" s="585"/>
      <c r="AW827" s="585"/>
      <c r="AX827" s="673"/>
      <c r="AY827" s="380"/>
      <c r="AZ827" s="380"/>
      <c r="BA827" s="380"/>
      <c r="BB827" s="380"/>
      <c r="BC827" s="380"/>
      <c r="BD827" s="380"/>
      <c r="BE827" s="380"/>
      <c r="BF827" s="380"/>
      <c r="BG827" s="380"/>
      <c r="BH827" s="380"/>
      <c r="BI827" s="511"/>
      <c r="BJ827" s="380"/>
      <c r="BK827" s="380"/>
      <c r="BL827" s="380"/>
      <c r="BM827" s="380"/>
      <c r="BN827" s="380"/>
      <c r="BO827" s="380"/>
      <c r="BP827" s="380"/>
      <c r="BQ827" s="380"/>
      <c r="BR827" s="380"/>
    </row>
    <row r="828" spans="1:70" ht="12.75" customHeight="1" x14ac:dyDescent="0.25">
      <c r="A828" s="380"/>
      <c r="B828" s="380"/>
      <c r="C828" s="380"/>
      <c r="D828" s="380"/>
      <c r="E828" s="511"/>
      <c r="F828" s="511"/>
      <c r="G828" s="582"/>
      <c r="H828" s="511"/>
      <c r="I828" s="511"/>
      <c r="J828" s="582"/>
      <c r="K828" s="511"/>
      <c r="L828" s="511"/>
      <c r="M828" s="582"/>
      <c r="N828" s="582"/>
      <c r="O828" s="582"/>
      <c r="P828" s="582"/>
      <c r="Q828" s="511"/>
      <c r="R828" s="511"/>
      <c r="S828" s="511"/>
      <c r="T828" s="639"/>
      <c r="U828" s="511"/>
      <c r="V828" s="511"/>
      <c r="W828" s="511"/>
      <c r="X828" s="511"/>
      <c r="Y828" s="380"/>
      <c r="Z828" s="380"/>
      <c r="AA828" s="380"/>
      <c r="AB828" s="380"/>
      <c r="AC828" s="380"/>
      <c r="AD828" s="671"/>
      <c r="AE828" s="380"/>
      <c r="AF828" s="380"/>
      <c r="AG828" s="380"/>
      <c r="AH828" s="671"/>
      <c r="AI828" s="380"/>
      <c r="AJ828" s="583"/>
      <c r="AK828" s="583"/>
      <c r="AL828" s="511"/>
      <c r="AM828" s="584"/>
      <c r="AN828" s="584"/>
      <c r="AO828" s="584"/>
      <c r="AP828" s="671"/>
      <c r="AQ828" s="584"/>
      <c r="AR828" s="583"/>
      <c r="AS828" s="583"/>
      <c r="AT828" s="585"/>
      <c r="AU828" s="585"/>
      <c r="AV828" s="585"/>
      <c r="AW828" s="585"/>
      <c r="AX828" s="673"/>
      <c r="AY828" s="380"/>
      <c r="AZ828" s="380"/>
      <c r="BA828" s="380"/>
      <c r="BB828" s="380"/>
      <c r="BC828" s="380"/>
      <c r="BD828" s="380"/>
      <c r="BE828" s="380"/>
      <c r="BF828" s="380"/>
      <c r="BG828" s="380"/>
      <c r="BH828" s="380"/>
      <c r="BI828" s="511"/>
      <c r="BJ828" s="380"/>
      <c r="BK828" s="380"/>
      <c r="BL828" s="380"/>
      <c r="BM828" s="380"/>
      <c r="BN828" s="380"/>
      <c r="BO828" s="380"/>
      <c r="BP828" s="380"/>
      <c r="BQ828" s="380"/>
      <c r="BR828" s="380"/>
    </row>
    <row r="829" spans="1:70" ht="12.75" customHeight="1" x14ac:dyDescent="0.25">
      <c r="A829" s="380"/>
      <c r="B829" s="380"/>
      <c r="C829" s="380"/>
      <c r="D829" s="380"/>
      <c r="E829" s="511"/>
      <c r="F829" s="511"/>
      <c r="G829" s="582"/>
      <c r="H829" s="511"/>
      <c r="I829" s="511"/>
      <c r="J829" s="582"/>
      <c r="K829" s="511"/>
      <c r="L829" s="511"/>
      <c r="M829" s="582"/>
      <c r="N829" s="582"/>
      <c r="O829" s="582"/>
      <c r="P829" s="582"/>
      <c r="Q829" s="511"/>
      <c r="R829" s="511"/>
      <c r="S829" s="511"/>
      <c r="T829" s="639"/>
      <c r="U829" s="511"/>
      <c r="V829" s="511"/>
      <c r="W829" s="511"/>
      <c r="X829" s="511"/>
      <c r="Y829" s="380"/>
      <c r="Z829" s="380"/>
      <c r="AA829" s="380"/>
      <c r="AB829" s="380"/>
      <c r="AC829" s="380"/>
      <c r="AD829" s="671"/>
      <c r="AE829" s="380"/>
      <c r="AF829" s="380"/>
      <c r="AG829" s="380"/>
      <c r="AH829" s="671"/>
      <c r="AI829" s="380"/>
      <c r="AJ829" s="583"/>
      <c r="AK829" s="583"/>
      <c r="AL829" s="511"/>
      <c r="AM829" s="584"/>
      <c r="AN829" s="584"/>
      <c r="AO829" s="584"/>
      <c r="AP829" s="671"/>
      <c r="AQ829" s="584"/>
      <c r="AR829" s="583"/>
      <c r="AS829" s="583"/>
      <c r="AT829" s="585"/>
      <c r="AU829" s="585"/>
      <c r="AV829" s="585"/>
      <c r="AW829" s="585"/>
      <c r="AX829" s="673"/>
      <c r="AY829" s="380"/>
      <c r="AZ829" s="380"/>
      <c r="BA829" s="380"/>
      <c r="BB829" s="380"/>
      <c r="BC829" s="380"/>
      <c r="BD829" s="380"/>
      <c r="BE829" s="380"/>
      <c r="BF829" s="380"/>
      <c r="BG829" s="380"/>
      <c r="BH829" s="380"/>
      <c r="BI829" s="511"/>
      <c r="BJ829" s="380"/>
      <c r="BK829" s="380"/>
      <c r="BL829" s="380"/>
      <c r="BM829" s="380"/>
      <c r="BN829" s="380"/>
      <c r="BO829" s="380"/>
      <c r="BP829" s="380"/>
      <c r="BQ829" s="380"/>
      <c r="BR829" s="380"/>
    </row>
    <row r="830" spans="1:70" ht="12.75" customHeight="1" x14ac:dyDescent="0.25">
      <c r="A830" s="380"/>
      <c r="B830" s="380"/>
      <c r="C830" s="380"/>
      <c r="D830" s="380"/>
      <c r="E830" s="511"/>
      <c r="F830" s="511"/>
      <c r="G830" s="582"/>
      <c r="H830" s="511"/>
      <c r="I830" s="511"/>
      <c r="J830" s="582"/>
      <c r="K830" s="511"/>
      <c r="L830" s="511"/>
      <c r="M830" s="582"/>
      <c r="N830" s="582"/>
      <c r="O830" s="582"/>
      <c r="P830" s="582"/>
      <c r="Q830" s="511"/>
      <c r="R830" s="511"/>
      <c r="S830" s="511"/>
      <c r="T830" s="639"/>
      <c r="U830" s="511"/>
      <c r="V830" s="511"/>
      <c r="W830" s="511"/>
      <c r="X830" s="511"/>
      <c r="Y830" s="380"/>
      <c r="Z830" s="380"/>
      <c r="AA830" s="380"/>
      <c r="AB830" s="380"/>
      <c r="AC830" s="380"/>
      <c r="AD830" s="671"/>
      <c r="AE830" s="380"/>
      <c r="AF830" s="380"/>
      <c r="AG830" s="380"/>
      <c r="AH830" s="671"/>
      <c r="AI830" s="380"/>
      <c r="AJ830" s="583"/>
      <c r="AK830" s="583"/>
      <c r="AL830" s="511"/>
      <c r="AM830" s="584"/>
      <c r="AN830" s="584"/>
      <c r="AO830" s="584"/>
      <c r="AP830" s="671"/>
      <c r="AQ830" s="584"/>
      <c r="AR830" s="583"/>
      <c r="AS830" s="583"/>
      <c r="AT830" s="585"/>
      <c r="AU830" s="585"/>
      <c r="AV830" s="585"/>
      <c r="AW830" s="585"/>
      <c r="AX830" s="673"/>
      <c r="AY830" s="380"/>
      <c r="AZ830" s="380"/>
      <c r="BA830" s="380"/>
      <c r="BB830" s="380"/>
      <c r="BC830" s="380"/>
      <c r="BD830" s="380"/>
      <c r="BE830" s="380"/>
      <c r="BF830" s="380"/>
      <c r="BG830" s="380"/>
      <c r="BH830" s="380"/>
      <c r="BI830" s="511"/>
      <c r="BJ830" s="380"/>
      <c r="BK830" s="380"/>
      <c r="BL830" s="380"/>
      <c r="BM830" s="380"/>
      <c r="BN830" s="380"/>
      <c r="BO830" s="380"/>
      <c r="BP830" s="380"/>
      <c r="BQ830" s="380"/>
      <c r="BR830" s="380"/>
    </row>
    <row r="831" spans="1:70" ht="12.75" customHeight="1" x14ac:dyDescent="0.25">
      <c r="A831" s="380"/>
      <c r="B831" s="380"/>
      <c r="C831" s="380"/>
      <c r="D831" s="380"/>
      <c r="E831" s="511"/>
      <c r="F831" s="511"/>
      <c r="G831" s="582"/>
      <c r="H831" s="511"/>
      <c r="I831" s="511"/>
      <c r="J831" s="582"/>
      <c r="K831" s="511"/>
      <c r="L831" s="511"/>
      <c r="M831" s="582"/>
      <c r="N831" s="582"/>
      <c r="O831" s="582"/>
      <c r="P831" s="582"/>
      <c r="Q831" s="511"/>
      <c r="R831" s="511"/>
      <c r="S831" s="511"/>
      <c r="T831" s="639"/>
      <c r="U831" s="511"/>
      <c r="V831" s="511"/>
      <c r="W831" s="511"/>
      <c r="X831" s="511"/>
      <c r="Y831" s="380"/>
      <c r="Z831" s="380"/>
      <c r="AA831" s="380"/>
      <c r="AB831" s="380"/>
      <c r="AC831" s="380"/>
      <c r="AD831" s="671"/>
      <c r="AE831" s="380"/>
      <c r="AF831" s="380"/>
      <c r="AG831" s="380"/>
      <c r="AH831" s="671"/>
      <c r="AI831" s="380"/>
      <c r="AJ831" s="583"/>
      <c r="AK831" s="583"/>
      <c r="AL831" s="511"/>
      <c r="AM831" s="584"/>
      <c r="AN831" s="584"/>
      <c r="AO831" s="584"/>
      <c r="AP831" s="671"/>
      <c r="AQ831" s="584"/>
      <c r="AR831" s="583"/>
      <c r="AS831" s="583"/>
      <c r="AT831" s="585"/>
      <c r="AU831" s="585"/>
      <c r="AV831" s="585"/>
      <c r="AW831" s="585"/>
      <c r="AX831" s="673"/>
      <c r="AY831" s="380"/>
      <c r="AZ831" s="380"/>
      <c r="BA831" s="380"/>
      <c r="BB831" s="380"/>
      <c r="BC831" s="380"/>
      <c r="BD831" s="380"/>
      <c r="BE831" s="380"/>
      <c r="BF831" s="380"/>
      <c r="BG831" s="380"/>
      <c r="BH831" s="380"/>
      <c r="BI831" s="511"/>
      <c r="BJ831" s="380"/>
      <c r="BK831" s="380"/>
      <c r="BL831" s="380"/>
      <c r="BM831" s="380"/>
      <c r="BN831" s="380"/>
      <c r="BO831" s="380"/>
      <c r="BP831" s="380"/>
      <c r="BQ831" s="380"/>
      <c r="BR831" s="380"/>
    </row>
    <row r="832" spans="1:70" ht="12.75" customHeight="1" x14ac:dyDescent="0.25">
      <c r="A832" s="380"/>
      <c r="B832" s="380"/>
      <c r="C832" s="380"/>
      <c r="D832" s="380"/>
      <c r="E832" s="511"/>
      <c r="F832" s="511"/>
      <c r="G832" s="582"/>
      <c r="H832" s="511"/>
      <c r="I832" s="511"/>
      <c r="J832" s="582"/>
      <c r="K832" s="511"/>
      <c r="L832" s="511"/>
      <c r="M832" s="582"/>
      <c r="N832" s="582"/>
      <c r="O832" s="582"/>
      <c r="P832" s="582"/>
      <c r="Q832" s="511"/>
      <c r="R832" s="511"/>
      <c r="S832" s="511"/>
      <c r="T832" s="639"/>
      <c r="U832" s="511"/>
      <c r="V832" s="511"/>
      <c r="W832" s="511"/>
      <c r="X832" s="511"/>
      <c r="Y832" s="380"/>
      <c r="Z832" s="380"/>
      <c r="AA832" s="380"/>
      <c r="AB832" s="380"/>
      <c r="AC832" s="380"/>
      <c r="AD832" s="671"/>
      <c r="AE832" s="380"/>
      <c r="AF832" s="380"/>
      <c r="AG832" s="380"/>
      <c r="AH832" s="671"/>
      <c r="AI832" s="380"/>
      <c r="AJ832" s="583"/>
      <c r="AK832" s="583"/>
      <c r="AL832" s="511"/>
      <c r="AM832" s="584"/>
      <c r="AN832" s="584"/>
      <c r="AO832" s="584"/>
      <c r="AP832" s="671"/>
      <c r="AQ832" s="584"/>
      <c r="AR832" s="583"/>
      <c r="AS832" s="583"/>
      <c r="AT832" s="585"/>
      <c r="AU832" s="585"/>
      <c r="AV832" s="585"/>
      <c r="AW832" s="585"/>
      <c r="AX832" s="673"/>
      <c r="AY832" s="380"/>
      <c r="AZ832" s="380"/>
      <c r="BA832" s="380"/>
      <c r="BB832" s="380"/>
      <c r="BC832" s="380"/>
      <c r="BD832" s="380"/>
      <c r="BE832" s="380"/>
      <c r="BF832" s="380"/>
      <c r="BG832" s="380"/>
      <c r="BH832" s="380"/>
      <c r="BI832" s="511"/>
      <c r="BJ832" s="380"/>
      <c r="BK832" s="380"/>
      <c r="BL832" s="380"/>
      <c r="BM832" s="380"/>
      <c r="BN832" s="380"/>
      <c r="BO832" s="380"/>
      <c r="BP832" s="380"/>
      <c r="BQ832" s="380"/>
      <c r="BR832" s="380"/>
    </row>
    <row r="833" spans="1:70" ht="12.75" customHeight="1" x14ac:dyDescent="0.25">
      <c r="A833" s="380"/>
      <c r="B833" s="380"/>
      <c r="C833" s="380"/>
      <c r="D833" s="380"/>
      <c r="E833" s="511"/>
      <c r="F833" s="511"/>
      <c r="G833" s="582"/>
      <c r="H833" s="511"/>
      <c r="I833" s="511"/>
      <c r="J833" s="582"/>
      <c r="K833" s="511"/>
      <c r="L833" s="511"/>
      <c r="M833" s="582"/>
      <c r="N833" s="582"/>
      <c r="O833" s="582"/>
      <c r="P833" s="582"/>
      <c r="Q833" s="511"/>
      <c r="R833" s="511"/>
      <c r="S833" s="511"/>
      <c r="T833" s="639"/>
      <c r="U833" s="511"/>
      <c r="V833" s="511"/>
      <c r="W833" s="511"/>
      <c r="X833" s="511"/>
      <c r="Y833" s="380"/>
      <c r="Z833" s="380"/>
      <c r="AA833" s="380"/>
      <c r="AB833" s="380"/>
      <c r="AC833" s="380"/>
      <c r="AD833" s="671"/>
      <c r="AE833" s="380"/>
      <c r="AF833" s="380"/>
      <c r="AG833" s="380"/>
      <c r="AH833" s="671"/>
      <c r="AI833" s="380"/>
      <c r="AJ833" s="583"/>
      <c r="AK833" s="583"/>
      <c r="AL833" s="511"/>
      <c r="AM833" s="584"/>
      <c r="AN833" s="584"/>
      <c r="AO833" s="584"/>
      <c r="AP833" s="671"/>
      <c r="AQ833" s="584"/>
      <c r="AR833" s="583"/>
      <c r="AS833" s="583"/>
      <c r="AT833" s="585"/>
      <c r="AU833" s="585"/>
      <c r="AV833" s="585"/>
      <c r="AW833" s="585"/>
      <c r="AX833" s="673"/>
      <c r="AY833" s="380"/>
      <c r="AZ833" s="380"/>
      <c r="BA833" s="380"/>
      <c r="BB833" s="380"/>
      <c r="BC833" s="380"/>
      <c r="BD833" s="380"/>
      <c r="BE833" s="380"/>
      <c r="BF833" s="380"/>
      <c r="BG833" s="380"/>
      <c r="BH833" s="380"/>
      <c r="BI833" s="511"/>
      <c r="BJ833" s="380"/>
      <c r="BK833" s="380"/>
      <c r="BL833" s="380"/>
      <c r="BM833" s="380"/>
      <c r="BN833" s="380"/>
      <c r="BO833" s="380"/>
      <c r="BP833" s="380"/>
      <c r="BQ833" s="380"/>
      <c r="BR833" s="380"/>
    </row>
    <row r="834" spans="1:70" ht="12.75" customHeight="1" x14ac:dyDescent="0.25">
      <c r="A834" s="380"/>
      <c r="B834" s="380"/>
      <c r="C834" s="380"/>
      <c r="D834" s="380"/>
      <c r="E834" s="511"/>
      <c r="F834" s="511"/>
      <c r="G834" s="582"/>
      <c r="H834" s="511"/>
      <c r="I834" s="511"/>
      <c r="J834" s="582"/>
      <c r="K834" s="511"/>
      <c r="L834" s="511"/>
      <c r="M834" s="582"/>
      <c r="N834" s="582"/>
      <c r="O834" s="582"/>
      <c r="P834" s="582"/>
      <c r="Q834" s="511"/>
      <c r="R834" s="511"/>
      <c r="S834" s="511"/>
      <c r="T834" s="639"/>
      <c r="U834" s="511"/>
      <c r="V834" s="511"/>
      <c r="W834" s="511"/>
      <c r="X834" s="511"/>
      <c r="Y834" s="380"/>
      <c r="Z834" s="380"/>
      <c r="AA834" s="380"/>
      <c r="AB834" s="380"/>
      <c r="AC834" s="380"/>
      <c r="AD834" s="671"/>
      <c r="AE834" s="380"/>
      <c r="AF834" s="380"/>
      <c r="AG834" s="380"/>
      <c r="AH834" s="671"/>
      <c r="AI834" s="380"/>
      <c r="AJ834" s="583"/>
      <c r="AK834" s="583"/>
      <c r="AL834" s="511"/>
      <c r="AM834" s="584"/>
      <c r="AN834" s="584"/>
      <c r="AO834" s="584"/>
      <c r="AP834" s="671"/>
      <c r="AQ834" s="584"/>
      <c r="AR834" s="583"/>
      <c r="AS834" s="583"/>
      <c r="AT834" s="585"/>
      <c r="AU834" s="585"/>
      <c r="AV834" s="585"/>
      <c r="AW834" s="585"/>
      <c r="AX834" s="673"/>
      <c r="AY834" s="380"/>
      <c r="AZ834" s="380"/>
      <c r="BA834" s="380"/>
      <c r="BB834" s="380"/>
      <c r="BC834" s="380"/>
      <c r="BD834" s="380"/>
      <c r="BE834" s="380"/>
      <c r="BF834" s="380"/>
      <c r="BG834" s="380"/>
      <c r="BH834" s="380"/>
      <c r="BI834" s="511"/>
      <c r="BJ834" s="380"/>
      <c r="BK834" s="380"/>
      <c r="BL834" s="380"/>
      <c r="BM834" s="380"/>
      <c r="BN834" s="380"/>
      <c r="BO834" s="380"/>
      <c r="BP834" s="380"/>
      <c r="BQ834" s="380"/>
      <c r="BR834" s="380"/>
    </row>
    <row r="835" spans="1:70" ht="12.75" customHeight="1" x14ac:dyDescent="0.25">
      <c r="A835" s="380"/>
      <c r="B835" s="380"/>
      <c r="C835" s="380"/>
      <c r="D835" s="380"/>
      <c r="E835" s="511"/>
      <c r="F835" s="511"/>
      <c r="G835" s="582"/>
      <c r="H835" s="511"/>
      <c r="I835" s="511"/>
      <c r="J835" s="582"/>
      <c r="K835" s="511"/>
      <c r="L835" s="511"/>
      <c r="M835" s="582"/>
      <c r="N835" s="582"/>
      <c r="O835" s="582"/>
      <c r="P835" s="582"/>
      <c r="Q835" s="511"/>
      <c r="R835" s="511"/>
      <c r="S835" s="511"/>
      <c r="T835" s="639"/>
      <c r="U835" s="511"/>
      <c r="V835" s="511"/>
      <c r="W835" s="511"/>
      <c r="X835" s="511"/>
      <c r="Y835" s="380"/>
      <c r="Z835" s="380"/>
      <c r="AA835" s="380"/>
      <c r="AB835" s="380"/>
      <c r="AC835" s="380"/>
      <c r="AD835" s="671"/>
      <c r="AE835" s="380"/>
      <c r="AF835" s="380"/>
      <c r="AG835" s="380"/>
      <c r="AH835" s="671"/>
      <c r="AI835" s="380"/>
      <c r="AJ835" s="583"/>
      <c r="AK835" s="583"/>
      <c r="AL835" s="511"/>
      <c r="AM835" s="584"/>
      <c r="AN835" s="584"/>
      <c r="AO835" s="584"/>
      <c r="AP835" s="671"/>
      <c r="AQ835" s="584"/>
      <c r="AR835" s="583"/>
      <c r="AS835" s="583"/>
      <c r="AT835" s="585"/>
      <c r="AU835" s="585"/>
      <c r="AV835" s="585"/>
      <c r="AW835" s="585"/>
      <c r="AX835" s="673"/>
      <c r="AY835" s="380"/>
      <c r="AZ835" s="380"/>
      <c r="BA835" s="380"/>
      <c r="BB835" s="380"/>
      <c r="BC835" s="380"/>
      <c r="BD835" s="380"/>
      <c r="BE835" s="380"/>
      <c r="BF835" s="380"/>
      <c r="BG835" s="380"/>
      <c r="BH835" s="380"/>
      <c r="BI835" s="511"/>
      <c r="BJ835" s="380"/>
      <c r="BK835" s="380"/>
      <c r="BL835" s="380"/>
      <c r="BM835" s="380"/>
      <c r="BN835" s="380"/>
      <c r="BO835" s="380"/>
      <c r="BP835" s="380"/>
      <c r="BQ835" s="380"/>
      <c r="BR835" s="380"/>
    </row>
    <row r="836" spans="1:70" ht="12.75" customHeight="1" x14ac:dyDescent="0.25">
      <c r="A836" s="380"/>
      <c r="B836" s="380"/>
      <c r="C836" s="380"/>
      <c r="D836" s="380"/>
      <c r="E836" s="511"/>
      <c r="F836" s="511"/>
      <c r="G836" s="582"/>
      <c r="H836" s="511"/>
      <c r="I836" s="511"/>
      <c r="J836" s="582"/>
      <c r="K836" s="511"/>
      <c r="L836" s="511"/>
      <c r="M836" s="582"/>
      <c r="N836" s="582"/>
      <c r="O836" s="582"/>
      <c r="P836" s="582"/>
      <c r="Q836" s="511"/>
      <c r="R836" s="511"/>
      <c r="S836" s="511"/>
      <c r="T836" s="639"/>
      <c r="U836" s="511"/>
      <c r="V836" s="511"/>
      <c r="W836" s="511"/>
      <c r="X836" s="511"/>
      <c r="Y836" s="380"/>
      <c r="Z836" s="380"/>
      <c r="AA836" s="380"/>
      <c r="AB836" s="380"/>
      <c r="AC836" s="380"/>
      <c r="AD836" s="671"/>
      <c r="AE836" s="380"/>
      <c r="AF836" s="380"/>
      <c r="AG836" s="380"/>
      <c r="AH836" s="671"/>
      <c r="AI836" s="380"/>
      <c r="AJ836" s="583"/>
      <c r="AK836" s="583"/>
      <c r="AL836" s="511"/>
      <c r="AM836" s="584"/>
      <c r="AN836" s="584"/>
      <c r="AO836" s="584"/>
      <c r="AP836" s="671"/>
      <c r="AQ836" s="584"/>
      <c r="AR836" s="583"/>
      <c r="AS836" s="583"/>
      <c r="AT836" s="585"/>
      <c r="AU836" s="585"/>
      <c r="AV836" s="585"/>
      <c r="AW836" s="585"/>
      <c r="AX836" s="673"/>
      <c r="AY836" s="380"/>
      <c r="AZ836" s="380"/>
      <c r="BA836" s="380"/>
      <c r="BB836" s="380"/>
      <c r="BC836" s="380"/>
      <c r="BD836" s="380"/>
      <c r="BE836" s="380"/>
      <c r="BF836" s="380"/>
      <c r="BG836" s="380"/>
      <c r="BH836" s="380"/>
      <c r="BI836" s="511"/>
      <c r="BJ836" s="380"/>
      <c r="BK836" s="380"/>
      <c r="BL836" s="380"/>
      <c r="BM836" s="380"/>
      <c r="BN836" s="380"/>
      <c r="BO836" s="380"/>
      <c r="BP836" s="380"/>
      <c r="BQ836" s="380"/>
      <c r="BR836" s="380"/>
    </row>
    <row r="837" spans="1:70" ht="12.75" customHeight="1" x14ac:dyDescent="0.25">
      <c r="A837" s="380"/>
      <c r="B837" s="380"/>
      <c r="C837" s="380"/>
      <c r="D837" s="380"/>
      <c r="E837" s="511"/>
      <c r="F837" s="511"/>
      <c r="G837" s="582"/>
      <c r="H837" s="511"/>
      <c r="I837" s="511"/>
      <c r="J837" s="582"/>
      <c r="K837" s="511"/>
      <c r="L837" s="511"/>
      <c r="M837" s="582"/>
      <c r="N837" s="582"/>
      <c r="O837" s="582"/>
      <c r="P837" s="582"/>
      <c r="Q837" s="511"/>
      <c r="R837" s="511"/>
      <c r="S837" s="511"/>
      <c r="T837" s="639"/>
      <c r="U837" s="511"/>
      <c r="V837" s="511"/>
      <c r="W837" s="511"/>
      <c r="X837" s="511"/>
      <c r="Y837" s="380"/>
      <c r="Z837" s="380"/>
      <c r="AA837" s="380"/>
      <c r="AB837" s="380"/>
      <c r="AC837" s="380"/>
      <c r="AD837" s="671"/>
      <c r="AE837" s="380"/>
      <c r="AF837" s="380"/>
      <c r="AG837" s="380"/>
      <c r="AH837" s="671"/>
      <c r="AI837" s="380"/>
      <c r="AJ837" s="583"/>
      <c r="AK837" s="583"/>
      <c r="AL837" s="511"/>
      <c r="AM837" s="584"/>
      <c r="AN837" s="584"/>
      <c r="AO837" s="584"/>
      <c r="AP837" s="671"/>
      <c r="AQ837" s="584"/>
      <c r="AR837" s="583"/>
      <c r="AS837" s="583"/>
      <c r="AT837" s="585"/>
      <c r="AU837" s="585"/>
      <c r="AV837" s="585"/>
      <c r="AW837" s="585"/>
      <c r="AX837" s="673"/>
      <c r="AY837" s="380"/>
      <c r="AZ837" s="380"/>
      <c r="BA837" s="380"/>
      <c r="BB837" s="380"/>
      <c r="BC837" s="380"/>
      <c r="BD837" s="380"/>
      <c r="BE837" s="380"/>
      <c r="BF837" s="380"/>
      <c r="BG837" s="380"/>
      <c r="BH837" s="380"/>
      <c r="BI837" s="511"/>
      <c r="BJ837" s="380"/>
      <c r="BK837" s="380"/>
      <c r="BL837" s="380"/>
      <c r="BM837" s="380"/>
      <c r="BN837" s="380"/>
      <c r="BO837" s="380"/>
      <c r="BP837" s="380"/>
      <c r="BQ837" s="380"/>
      <c r="BR837" s="380"/>
    </row>
    <row r="838" spans="1:70" ht="12.75" customHeight="1" x14ac:dyDescent="0.25">
      <c r="A838" s="380"/>
      <c r="B838" s="380"/>
      <c r="C838" s="380"/>
      <c r="D838" s="380"/>
      <c r="E838" s="511"/>
      <c r="F838" s="511"/>
      <c r="G838" s="582"/>
      <c r="H838" s="511"/>
      <c r="I838" s="511"/>
      <c r="J838" s="582"/>
      <c r="K838" s="511"/>
      <c r="L838" s="511"/>
      <c r="M838" s="582"/>
      <c r="N838" s="582"/>
      <c r="O838" s="582"/>
      <c r="P838" s="582"/>
      <c r="Q838" s="511"/>
      <c r="R838" s="511"/>
      <c r="S838" s="511"/>
      <c r="T838" s="639"/>
      <c r="U838" s="511"/>
      <c r="V838" s="511"/>
      <c r="W838" s="511"/>
      <c r="X838" s="511"/>
      <c r="Y838" s="380"/>
      <c r="Z838" s="380"/>
      <c r="AA838" s="380"/>
      <c r="AB838" s="380"/>
      <c r="AC838" s="380"/>
      <c r="AD838" s="671"/>
      <c r="AE838" s="380"/>
      <c r="AF838" s="380"/>
      <c r="AG838" s="380"/>
      <c r="AH838" s="671"/>
      <c r="AI838" s="380"/>
      <c r="AJ838" s="583"/>
      <c r="AK838" s="583"/>
      <c r="AL838" s="511"/>
      <c r="AM838" s="584"/>
      <c r="AN838" s="584"/>
      <c r="AO838" s="584"/>
      <c r="AP838" s="671"/>
      <c r="AQ838" s="584"/>
      <c r="AR838" s="583"/>
      <c r="AS838" s="583"/>
      <c r="AT838" s="585"/>
      <c r="AU838" s="585"/>
      <c r="AV838" s="585"/>
      <c r="AW838" s="585"/>
      <c r="AX838" s="673"/>
      <c r="AY838" s="380"/>
      <c r="AZ838" s="380"/>
      <c r="BA838" s="380"/>
      <c r="BB838" s="380"/>
      <c r="BC838" s="380"/>
      <c r="BD838" s="380"/>
      <c r="BE838" s="380"/>
      <c r="BF838" s="380"/>
      <c r="BG838" s="380"/>
      <c r="BH838" s="380"/>
      <c r="BI838" s="511"/>
      <c r="BJ838" s="380"/>
      <c r="BK838" s="380"/>
      <c r="BL838" s="380"/>
      <c r="BM838" s="380"/>
      <c r="BN838" s="380"/>
      <c r="BO838" s="380"/>
      <c r="BP838" s="380"/>
      <c r="BQ838" s="380"/>
      <c r="BR838" s="380"/>
    </row>
    <row r="839" spans="1:70" ht="12.75" customHeight="1" x14ac:dyDescent="0.25">
      <c r="A839" s="380"/>
      <c r="B839" s="380"/>
      <c r="C839" s="380"/>
      <c r="D839" s="380"/>
      <c r="E839" s="511"/>
      <c r="F839" s="511"/>
      <c r="G839" s="582"/>
      <c r="H839" s="511"/>
      <c r="I839" s="511"/>
      <c r="J839" s="582"/>
      <c r="K839" s="511"/>
      <c r="L839" s="511"/>
      <c r="M839" s="582"/>
      <c r="N839" s="582"/>
      <c r="O839" s="582"/>
      <c r="P839" s="582"/>
      <c r="Q839" s="511"/>
      <c r="R839" s="511"/>
      <c r="S839" s="511"/>
      <c r="T839" s="639"/>
      <c r="U839" s="511"/>
      <c r="V839" s="511"/>
      <c r="W839" s="511"/>
      <c r="X839" s="511"/>
      <c r="Y839" s="380"/>
      <c r="Z839" s="380"/>
      <c r="AA839" s="380"/>
      <c r="AB839" s="380"/>
      <c r="AC839" s="380"/>
      <c r="AD839" s="671"/>
      <c r="AE839" s="380"/>
      <c r="AF839" s="380"/>
      <c r="AG839" s="380"/>
      <c r="AH839" s="671"/>
      <c r="AI839" s="380"/>
      <c r="AJ839" s="583"/>
      <c r="AK839" s="583"/>
      <c r="AL839" s="511"/>
      <c r="AM839" s="584"/>
      <c r="AN839" s="584"/>
      <c r="AO839" s="584"/>
      <c r="AP839" s="671"/>
      <c r="AQ839" s="584"/>
      <c r="AR839" s="583"/>
      <c r="AS839" s="583"/>
      <c r="AT839" s="585"/>
      <c r="AU839" s="585"/>
      <c r="AV839" s="585"/>
      <c r="AW839" s="585"/>
      <c r="AX839" s="673"/>
      <c r="AY839" s="380"/>
      <c r="AZ839" s="380"/>
      <c r="BA839" s="380"/>
      <c r="BB839" s="380"/>
      <c r="BC839" s="380"/>
      <c r="BD839" s="380"/>
      <c r="BE839" s="380"/>
      <c r="BF839" s="380"/>
      <c r="BG839" s="380"/>
      <c r="BH839" s="380"/>
      <c r="BI839" s="511"/>
      <c r="BJ839" s="380"/>
      <c r="BK839" s="380"/>
      <c r="BL839" s="380"/>
      <c r="BM839" s="380"/>
      <c r="BN839" s="380"/>
      <c r="BO839" s="380"/>
      <c r="BP839" s="380"/>
      <c r="BQ839" s="380"/>
      <c r="BR839" s="380"/>
    </row>
    <row r="840" spans="1:70" ht="12.75" customHeight="1" x14ac:dyDescent="0.25">
      <c r="A840" s="380"/>
      <c r="B840" s="380"/>
      <c r="C840" s="380"/>
      <c r="D840" s="380"/>
      <c r="E840" s="511"/>
      <c r="F840" s="511"/>
      <c r="G840" s="582"/>
      <c r="H840" s="511"/>
      <c r="I840" s="511"/>
      <c r="J840" s="582"/>
      <c r="K840" s="511"/>
      <c r="L840" s="511"/>
      <c r="M840" s="582"/>
      <c r="N840" s="582"/>
      <c r="O840" s="582"/>
      <c r="P840" s="582"/>
      <c r="Q840" s="511"/>
      <c r="R840" s="511"/>
      <c r="S840" s="511"/>
      <c r="T840" s="639"/>
      <c r="U840" s="511"/>
      <c r="V840" s="511"/>
      <c r="W840" s="511"/>
      <c r="X840" s="511"/>
      <c r="Y840" s="380"/>
      <c r="Z840" s="380"/>
      <c r="AA840" s="380"/>
      <c r="AB840" s="380"/>
      <c r="AC840" s="380"/>
      <c r="AD840" s="671"/>
      <c r="AE840" s="380"/>
      <c r="AF840" s="380"/>
      <c r="AG840" s="380"/>
      <c r="AH840" s="671"/>
      <c r="AI840" s="380"/>
      <c r="AJ840" s="583"/>
      <c r="AK840" s="583"/>
      <c r="AL840" s="511"/>
      <c r="AM840" s="584"/>
      <c r="AN840" s="584"/>
      <c r="AO840" s="584"/>
      <c r="AP840" s="671"/>
      <c r="AQ840" s="584"/>
      <c r="AR840" s="583"/>
      <c r="AS840" s="583"/>
      <c r="AT840" s="585"/>
      <c r="AU840" s="585"/>
      <c r="AV840" s="585"/>
      <c r="AW840" s="585"/>
      <c r="AX840" s="673"/>
      <c r="AY840" s="380"/>
      <c r="AZ840" s="380"/>
      <c r="BA840" s="380"/>
      <c r="BB840" s="380"/>
      <c r="BC840" s="380"/>
      <c r="BD840" s="380"/>
      <c r="BE840" s="380"/>
      <c r="BF840" s="380"/>
      <c r="BG840" s="380"/>
      <c r="BH840" s="380"/>
      <c r="BI840" s="511"/>
      <c r="BJ840" s="380"/>
      <c r="BK840" s="380"/>
      <c r="BL840" s="380"/>
      <c r="BM840" s="380"/>
      <c r="BN840" s="380"/>
      <c r="BO840" s="380"/>
      <c r="BP840" s="380"/>
      <c r="BQ840" s="380"/>
      <c r="BR840" s="380"/>
    </row>
    <row r="841" spans="1:70" ht="12.75" customHeight="1" x14ac:dyDescent="0.25">
      <c r="A841" s="380"/>
      <c r="B841" s="380"/>
      <c r="C841" s="380"/>
      <c r="D841" s="380"/>
      <c r="E841" s="511"/>
      <c r="F841" s="511"/>
      <c r="G841" s="582"/>
      <c r="H841" s="511"/>
      <c r="I841" s="511"/>
      <c r="J841" s="582"/>
      <c r="K841" s="511"/>
      <c r="L841" s="511"/>
      <c r="M841" s="582"/>
      <c r="N841" s="582"/>
      <c r="O841" s="582"/>
      <c r="P841" s="582"/>
      <c r="Q841" s="511"/>
      <c r="R841" s="511"/>
      <c r="S841" s="511"/>
      <c r="T841" s="639"/>
      <c r="U841" s="511"/>
      <c r="V841" s="511"/>
      <c r="W841" s="511"/>
      <c r="X841" s="511"/>
      <c r="Y841" s="380"/>
      <c r="Z841" s="380"/>
      <c r="AA841" s="380"/>
      <c r="AB841" s="380"/>
      <c r="AC841" s="380"/>
      <c r="AD841" s="671"/>
      <c r="AE841" s="380"/>
      <c r="AF841" s="380"/>
      <c r="AG841" s="380"/>
      <c r="AH841" s="671"/>
      <c r="AI841" s="380"/>
      <c r="AJ841" s="583"/>
      <c r="AK841" s="583"/>
      <c r="AL841" s="511"/>
      <c r="AM841" s="584"/>
      <c r="AN841" s="584"/>
      <c r="AO841" s="584"/>
      <c r="AP841" s="671"/>
      <c r="AQ841" s="584"/>
      <c r="AR841" s="583"/>
      <c r="AS841" s="583"/>
      <c r="AT841" s="585"/>
      <c r="AU841" s="585"/>
      <c r="AV841" s="585"/>
      <c r="AW841" s="585"/>
      <c r="AX841" s="673"/>
      <c r="AY841" s="380"/>
      <c r="AZ841" s="380"/>
      <c r="BA841" s="380"/>
      <c r="BB841" s="380"/>
      <c r="BC841" s="380"/>
      <c r="BD841" s="380"/>
      <c r="BE841" s="380"/>
      <c r="BF841" s="380"/>
      <c r="BG841" s="380"/>
      <c r="BH841" s="380"/>
      <c r="BI841" s="511"/>
      <c r="BJ841" s="380"/>
      <c r="BK841" s="380"/>
      <c r="BL841" s="380"/>
      <c r="BM841" s="380"/>
      <c r="BN841" s="380"/>
      <c r="BO841" s="380"/>
      <c r="BP841" s="380"/>
      <c r="BQ841" s="380"/>
      <c r="BR841" s="380"/>
    </row>
    <row r="842" spans="1:70" ht="12.75" customHeight="1" x14ac:dyDescent="0.25">
      <c r="A842" s="380"/>
      <c r="B842" s="380"/>
      <c r="C842" s="380"/>
      <c r="D842" s="380"/>
      <c r="E842" s="511"/>
      <c r="F842" s="511"/>
      <c r="G842" s="582"/>
      <c r="H842" s="511"/>
      <c r="I842" s="511"/>
      <c r="J842" s="582"/>
      <c r="K842" s="511"/>
      <c r="L842" s="511"/>
      <c r="M842" s="582"/>
      <c r="N842" s="582"/>
      <c r="O842" s="582"/>
      <c r="P842" s="582"/>
      <c r="Q842" s="511"/>
      <c r="R842" s="511"/>
      <c r="S842" s="511"/>
      <c r="T842" s="639"/>
      <c r="U842" s="511"/>
      <c r="V842" s="511"/>
      <c r="W842" s="511"/>
      <c r="X842" s="511"/>
      <c r="Y842" s="380"/>
      <c r="Z842" s="380"/>
      <c r="AA842" s="380"/>
      <c r="AB842" s="380"/>
      <c r="AC842" s="380"/>
      <c r="AD842" s="671"/>
      <c r="AE842" s="380"/>
      <c r="AF842" s="380"/>
      <c r="AG842" s="380"/>
      <c r="AH842" s="671"/>
      <c r="AI842" s="380"/>
      <c r="AJ842" s="583"/>
      <c r="AK842" s="583"/>
      <c r="AL842" s="511"/>
      <c r="AM842" s="584"/>
      <c r="AN842" s="584"/>
      <c r="AO842" s="584"/>
      <c r="AP842" s="671"/>
      <c r="AQ842" s="584"/>
      <c r="AR842" s="583"/>
      <c r="AS842" s="583"/>
      <c r="AT842" s="585"/>
      <c r="AU842" s="585"/>
      <c r="AV842" s="585"/>
      <c r="AW842" s="585"/>
      <c r="AX842" s="673"/>
      <c r="AY842" s="380"/>
      <c r="AZ842" s="380"/>
      <c r="BA842" s="380"/>
      <c r="BB842" s="380"/>
      <c r="BC842" s="380"/>
      <c r="BD842" s="380"/>
      <c r="BE842" s="380"/>
      <c r="BF842" s="380"/>
      <c r="BG842" s="380"/>
      <c r="BH842" s="380"/>
      <c r="BI842" s="511"/>
      <c r="BJ842" s="380"/>
      <c r="BK842" s="380"/>
      <c r="BL842" s="380"/>
      <c r="BM842" s="380"/>
      <c r="BN842" s="380"/>
      <c r="BO842" s="380"/>
      <c r="BP842" s="380"/>
      <c r="BQ842" s="380"/>
      <c r="BR842" s="380"/>
    </row>
    <row r="843" spans="1:70" ht="12.75" customHeight="1" x14ac:dyDescent="0.25">
      <c r="A843" s="380"/>
      <c r="B843" s="380"/>
      <c r="C843" s="380"/>
      <c r="D843" s="380"/>
      <c r="E843" s="511"/>
      <c r="F843" s="511"/>
      <c r="G843" s="582"/>
      <c r="H843" s="511"/>
      <c r="I843" s="511"/>
      <c r="J843" s="582"/>
      <c r="K843" s="511"/>
      <c r="L843" s="511"/>
      <c r="M843" s="582"/>
      <c r="N843" s="582"/>
      <c r="O843" s="582"/>
      <c r="P843" s="582"/>
      <c r="Q843" s="511"/>
      <c r="R843" s="511"/>
      <c r="S843" s="511"/>
      <c r="T843" s="639"/>
      <c r="U843" s="511"/>
      <c r="V843" s="511"/>
      <c r="W843" s="511"/>
      <c r="X843" s="511"/>
      <c r="Y843" s="380"/>
      <c r="Z843" s="380"/>
      <c r="AA843" s="380"/>
      <c r="AB843" s="380"/>
      <c r="AC843" s="380"/>
      <c r="AD843" s="671"/>
      <c r="AE843" s="380"/>
      <c r="AF843" s="380"/>
      <c r="AG843" s="380"/>
      <c r="AH843" s="671"/>
      <c r="AI843" s="380"/>
      <c r="AJ843" s="583"/>
      <c r="AK843" s="583"/>
      <c r="AL843" s="511"/>
      <c r="AM843" s="584"/>
      <c r="AN843" s="584"/>
      <c r="AO843" s="584"/>
      <c r="AP843" s="671"/>
      <c r="AQ843" s="584"/>
      <c r="AR843" s="583"/>
      <c r="AS843" s="583"/>
      <c r="AT843" s="585"/>
      <c r="AU843" s="585"/>
      <c r="AV843" s="585"/>
      <c r="AW843" s="585"/>
      <c r="AX843" s="673"/>
      <c r="AY843" s="380"/>
      <c r="AZ843" s="380"/>
      <c r="BA843" s="380"/>
      <c r="BB843" s="380"/>
      <c r="BC843" s="380"/>
      <c r="BD843" s="380"/>
      <c r="BE843" s="380"/>
      <c r="BF843" s="380"/>
      <c r="BG843" s="380"/>
      <c r="BH843" s="380"/>
      <c r="BI843" s="511"/>
      <c r="BJ843" s="380"/>
      <c r="BK843" s="380"/>
      <c r="BL843" s="380"/>
      <c r="BM843" s="380"/>
      <c r="BN843" s="380"/>
      <c r="BO843" s="380"/>
      <c r="BP843" s="380"/>
      <c r="BQ843" s="380"/>
      <c r="BR843" s="380"/>
    </row>
    <row r="844" spans="1:70" ht="12.75" customHeight="1" x14ac:dyDescent="0.25">
      <c r="A844" s="380"/>
      <c r="B844" s="380"/>
      <c r="C844" s="380"/>
      <c r="D844" s="380"/>
      <c r="E844" s="511"/>
      <c r="F844" s="511"/>
      <c r="G844" s="582"/>
      <c r="H844" s="511"/>
      <c r="I844" s="511"/>
      <c r="J844" s="582"/>
      <c r="K844" s="511"/>
      <c r="L844" s="511"/>
      <c r="M844" s="582"/>
      <c r="N844" s="582"/>
      <c r="O844" s="582"/>
      <c r="P844" s="582"/>
      <c r="Q844" s="511"/>
      <c r="R844" s="511"/>
      <c r="S844" s="511"/>
      <c r="T844" s="639"/>
      <c r="U844" s="511"/>
      <c r="V844" s="511"/>
      <c r="W844" s="511"/>
      <c r="X844" s="511"/>
      <c r="Y844" s="380"/>
      <c r="Z844" s="380"/>
      <c r="AA844" s="380"/>
      <c r="AB844" s="380"/>
      <c r="AC844" s="380"/>
      <c r="AD844" s="671"/>
      <c r="AE844" s="380"/>
      <c r="AF844" s="380"/>
      <c r="AG844" s="380"/>
      <c r="AH844" s="671"/>
      <c r="AI844" s="380"/>
      <c r="AJ844" s="583"/>
      <c r="AK844" s="583"/>
      <c r="AL844" s="511"/>
      <c r="AM844" s="584"/>
      <c r="AN844" s="584"/>
      <c r="AO844" s="584"/>
      <c r="AP844" s="671"/>
      <c r="AQ844" s="584"/>
      <c r="AR844" s="583"/>
      <c r="AS844" s="583"/>
      <c r="AT844" s="585"/>
      <c r="AU844" s="585"/>
      <c r="AV844" s="585"/>
      <c r="AW844" s="585"/>
      <c r="AX844" s="673"/>
      <c r="AY844" s="380"/>
      <c r="AZ844" s="380"/>
      <c r="BA844" s="380"/>
      <c r="BB844" s="380"/>
      <c r="BC844" s="380"/>
      <c r="BD844" s="380"/>
      <c r="BE844" s="380"/>
      <c r="BF844" s="380"/>
      <c r="BG844" s="380"/>
      <c r="BH844" s="380"/>
      <c r="BI844" s="511"/>
      <c r="BJ844" s="380"/>
      <c r="BK844" s="380"/>
      <c r="BL844" s="380"/>
      <c r="BM844" s="380"/>
      <c r="BN844" s="380"/>
      <c r="BO844" s="380"/>
      <c r="BP844" s="380"/>
      <c r="BQ844" s="380"/>
      <c r="BR844" s="380"/>
    </row>
    <row r="845" spans="1:70" ht="12.75" customHeight="1" x14ac:dyDescent="0.25">
      <c r="A845" s="380"/>
      <c r="B845" s="380"/>
      <c r="C845" s="380"/>
      <c r="D845" s="380"/>
      <c r="E845" s="511"/>
      <c r="F845" s="511"/>
      <c r="G845" s="582"/>
      <c r="H845" s="511"/>
      <c r="I845" s="511"/>
      <c r="J845" s="582"/>
      <c r="K845" s="511"/>
      <c r="L845" s="511"/>
      <c r="M845" s="582"/>
      <c r="N845" s="582"/>
      <c r="O845" s="582"/>
      <c r="P845" s="582"/>
      <c r="Q845" s="511"/>
      <c r="R845" s="511"/>
      <c r="S845" s="511"/>
      <c r="T845" s="639"/>
      <c r="U845" s="511"/>
      <c r="V845" s="511"/>
      <c r="W845" s="511"/>
      <c r="X845" s="511"/>
      <c r="Y845" s="380"/>
      <c r="Z845" s="380"/>
      <c r="AA845" s="380"/>
      <c r="AB845" s="380"/>
      <c r="AC845" s="380"/>
      <c r="AD845" s="671"/>
      <c r="AE845" s="380"/>
      <c r="AF845" s="380"/>
      <c r="AG845" s="380"/>
      <c r="AH845" s="671"/>
      <c r="AI845" s="380"/>
      <c r="AJ845" s="583"/>
      <c r="AK845" s="583"/>
      <c r="AL845" s="511"/>
      <c r="AM845" s="584"/>
      <c r="AN845" s="584"/>
      <c r="AO845" s="584"/>
      <c r="AP845" s="671"/>
      <c r="AQ845" s="584"/>
      <c r="AR845" s="583"/>
      <c r="AS845" s="583"/>
      <c r="AT845" s="585"/>
      <c r="AU845" s="585"/>
      <c r="AV845" s="585"/>
      <c r="AW845" s="585"/>
      <c r="AX845" s="673"/>
      <c r="AY845" s="380"/>
      <c r="AZ845" s="380"/>
      <c r="BA845" s="380"/>
      <c r="BB845" s="380"/>
      <c r="BC845" s="380"/>
      <c r="BD845" s="380"/>
      <c r="BE845" s="380"/>
      <c r="BF845" s="380"/>
      <c r="BG845" s="380"/>
      <c r="BH845" s="380"/>
      <c r="BI845" s="511"/>
      <c r="BJ845" s="380"/>
      <c r="BK845" s="380"/>
      <c r="BL845" s="380"/>
      <c r="BM845" s="380"/>
      <c r="BN845" s="380"/>
      <c r="BO845" s="380"/>
      <c r="BP845" s="380"/>
      <c r="BQ845" s="380"/>
      <c r="BR845" s="380"/>
    </row>
    <row r="846" spans="1:70" ht="12.75" customHeight="1" x14ac:dyDescent="0.25">
      <c r="A846" s="380"/>
      <c r="B846" s="380"/>
      <c r="C846" s="380"/>
      <c r="D846" s="380"/>
      <c r="E846" s="511"/>
      <c r="F846" s="511"/>
      <c r="G846" s="582"/>
      <c r="H846" s="511"/>
      <c r="I846" s="511"/>
      <c r="J846" s="582"/>
      <c r="K846" s="511"/>
      <c r="L846" s="511"/>
      <c r="M846" s="582"/>
      <c r="N846" s="582"/>
      <c r="O846" s="582"/>
      <c r="P846" s="582"/>
      <c r="Q846" s="511"/>
      <c r="R846" s="511"/>
      <c r="S846" s="511"/>
      <c r="T846" s="639"/>
      <c r="U846" s="511"/>
      <c r="V846" s="511"/>
      <c r="W846" s="511"/>
      <c r="X846" s="511"/>
      <c r="Y846" s="380"/>
      <c r="Z846" s="380"/>
      <c r="AA846" s="380"/>
      <c r="AB846" s="380"/>
      <c r="AC846" s="380"/>
      <c r="AD846" s="671"/>
      <c r="AE846" s="380"/>
      <c r="AF846" s="380"/>
      <c r="AG846" s="380"/>
      <c r="AH846" s="671"/>
      <c r="AI846" s="380"/>
      <c r="AJ846" s="583"/>
      <c r="AK846" s="583"/>
      <c r="AL846" s="511"/>
      <c r="AM846" s="584"/>
      <c r="AN846" s="584"/>
      <c r="AO846" s="584"/>
      <c r="AP846" s="671"/>
      <c r="AQ846" s="584"/>
      <c r="AR846" s="583"/>
      <c r="AS846" s="583"/>
      <c r="AT846" s="585"/>
      <c r="AU846" s="585"/>
      <c r="AV846" s="585"/>
      <c r="AW846" s="585"/>
      <c r="AX846" s="673"/>
      <c r="AY846" s="380"/>
      <c r="AZ846" s="380"/>
      <c r="BA846" s="380"/>
      <c r="BB846" s="380"/>
      <c r="BC846" s="380"/>
      <c r="BD846" s="380"/>
      <c r="BE846" s="380"/>
      <c r="BF846" s="380"/>
      <c r="BG846" s="380"/>
      <c r="BH846" s="380"/>
      <c r="BI846" s="511"/>
      <c r="BJ846" s="380"/>
      <c r="BK846" s="380"/>
      <c r="BL846" s="380"/>
      <c r="BM846" s="380"/>
      <c r="BN846" s="380"/>
      <c r="BO846" s="380"/>
      <c r="BP846" s="380"/>
      <c r="BQ846" s="380"/>
      <c r="BR846" s="380"/>
    </row>
    <row r="847" spans="1:70" ht="12.75" customHeight="1" x14ac:dyDescent="0.25">
      <c r="A847" s="380"/>
      <c r="B847" s="380"/>
      <c r="C847" s="380"/>
      <c r="D847" s="380"/>
      <c r="E847" s="511"/>
      <c r="F847" s="511"/>
      <c r="G847" s="582"/>
      <c r="H847" s="511"/>
      <c r="I847" s="511"/>
      <c r="J847" s="582"/>
      <c r="K847" s="511"/>
      <c r="L847" s="511"/>
      <c r="M847" s="582"/>
      <c r="N847" s="582"/>
      <c r="O847" s="582"/>
      <c r="P847" s="582"/>
      <c r="Q847" s="511"/>
      <c r="R847" s="511"/>
      <c r="S847" s="511"/>
      <c r="T847" s="639"/>
      <c r="U847" s="511"/>
      <c r="V847" s="511"/>
      <c r="W847" s="511"/>
      <c r="X847" s="511"/>
      <c r="Y847" s="380"/>
      <c r="Z847" s="380"/>
      <c r="AA847" s="380"/>
      <c r="AB847" s="380"/>
      <c r="AC847" s="380"/>
      <c r="AD847" s="671"/>
      <c r="AE847" s="380"/>
      <c r="AF847" s="380"/>
      <c r="AG847" s="380"/>
      <c r="AH847" s="671"/>
      <c r="AI847" s="380"/>
      <c r="AJ847" s="583"/>
      <c r="AK847" s="583"/>
      <c r="AL847" s="511"/>
      <c r="AM847" s="584"/>
      <c r="AN847" s="584"/>
      <c r="AO847" s="584"/>
      <c r="AP847" s="671"/>
      <c r="AQ847" s="584"/>
      <c r="AR847" s="583"/>
      <c r="AS847" s="583"/>
      <c r="AT847" s="585"/>
      <c r="AU847" s="585"/>
      <c r="AV847" s="585"/>
      <c r="AW847" s="585"/>
      <c r="AX847" s="673"/>
      <c r="AY847" s="380"/>
      <c r="AZ847" s="380"/>
      <c r="BA847" s="380"/>
      <c r="BB847" s="380"/>
      <c r="BC847" s="380"/>
      <c r="BD847" s="380"/>
      <c r="BE847" s="380"/>
      <c r="BF847" s="380"/>
      <c r="BG847" s="380"/>
      <c r="BH847" s="380"/>
      <c r="BI847" s="511"/>
      <c r="BJ847" s="380"/>
      <c r="BK847" s="380"/>
      <c r="BL847" s="380"/>
      <c r="BM847" s="380"/>
      <c r="BN847" s="380"/>
      <c r="BO847" s="380"/>
      <c r="BP847" s="380"/>
      <c r="BQ847" s="380"/>
      <c r="BR847" s="380"/>
    </row>
    <row r="848" spans="1:70" ht="12.75" customHeight="1" x14ac:dyDescent="0.25">
      <c r="A848" s="380"/>
      <c r="B848" s="380"/>
      <c r="C848" s="380"/>
      <c r="D848" s="380"/>
      <c r="E848" s="511"/>
      <c r="F848" s="511"/>
      <c r="G848" s="582"/>
      <c r="H848" s="511"/>
      <c r="I848" s="511"/>
      <c r="J848" s="582"/>
      <c r="K848" s="511"/>
      <c r="L848" s="511"/>
      <c r="M848" s="582"/>
      <c r="N848" s="582"/>
      <c r="O848" s="582"/>
      <c r="P848" s="582"/>
      <c r="Q848" s="511"/>
      <c r="R848" s="511"/>
      <c r="S848" s="511"/>
      <c r="T848" s="639"/>
      <c r="U848" s="511"/>
      <c r="V848" s="511"/>
      <c r="W848" s="511"/>
      <c r="X848" s="511"/>
      <c r="Y848" s="380"/>
      <c r="Z848" s="380"/>
      <c r="AA848" s="380"/>
      <c r="AB848" s="380"/>
      <c r="AC848" s="380"/>
      <c r="AD848" s="671"/>
      <c r="AE848" s="380"/>
      <c r="AF848" s="380"/>
      <c r="AG848" s="380"/>
      <c r="AH848" s="671"/>
      <c r="AI848" s="380"/>
      <c r="AJ848" s="583"/>
      <c r="AK848" s="583"/>
      <c r="AL848" s="511"/>
      <c r="AM848" s="584"/>
      <c r="AN848" s="584"/>
      <c r="AO848" s="584"/>
      <c r="AP848" s="671"/>
      <c r="AQ848" s="584"/>
      <c r="AR848" s="583"/>
      <c r="AS848" s="583"/>
      <c r="AT848" s="585"/>
      <c r="AU848" s="585"/>
      <c r="AV848" s="585"/>
      <c r="AW848" s="585"/>
      <c r="AX848" s="673"/>
      <c r="AY848" s="380"/>
      <c r="AZ848" s="380"/>
      <c r="BA848" s="380"/>
      <c r="BB848" s="380"/>
      <c r="BC848" s="380"/>
      <c r="BD848" s="380"/>
      <c r="BE848" s="380"/>
      <c r="BF848" s="380"/>
      <c r="BG848" s="380"/>
      <c r="BH848" s="380"/>
      <c r="BI848" s="511"/>
      <c r="BJ848" s="380"/>
      <c r="BK848" s="380"/>
      <c r="BL848" s="380"/>
      <c r="BM848" s="380"/>
      <c r="BN848" s="380"/>
      <c r="BO848" s="380"/>
      <c r="BP848" s="380"/>
      <c r="BQ848" s="380"/>
      <c r="BR848" s="380"/>
    </row>
    <row r="849" spans="1:70" ht="12.75" customHeight="1" x14ac:dyDescent="0.25">
      <c r="A849" s="380"/>
      <c r="B849" s="380"/>
      <c r="C849" s="380"/>
      <c r="D849" s="380"/>
      <c r="E849" s="511"/>
      <c r="F849" s="511"/>
      <c r="G849" s="582"/>
      <c r="H849" s="511"/>
      <c r="I849" s="511"/>
      <c r="J849" s="582"/>
      <c r="K849" s="511"/>
      <c r="L849" s="511"/>
      <c r="M849" s="582"/>
      <c r="N849" s="582"/>
      <c r="O849" s="582"/>
      <c r="P849" s="582"/>
      <c r="Q849" s="511"/>
      <c r="R849" s="511"/>
      <c r="S849" s="511"/>
      <c r="T849" s="639"/>
      <c r="U849" s="511"/>
      <c r="V849" s="511"/>
      <c r="W849" s="511"/>
      <c r="X849" s="511"/>
      <c r="Y849" s="380"/>
      <c r="Z849" s="380"/>
      <c r="AA849" s="380"/>
      <c r="AB849" s="380"/>
      <c r="AC849" s="380"/>
      <c r="AD849" s="671"/>
      <c r="AE849" s="380"/>
      <c r="AF849" s="380"/>
      <c r="AG849" s="380"/>
      <c r="AH849" s="671"/>
      <c r="AI849" s="380"/>
      <c r="AJ849" s="583"/>
      <c r="AK849" s="583"/>
      <c r="AL849" s="511"/>
      <c r="AM849" s="584"/>
      <c r="AN849" s="584"/>
      <c r="AO849" s="584"/>
      <c r="AP849" s="671"/>
      <c r="AQ849" s="584"/>
      <c r="AR849" s="583"/>
      <c r="AS849" s="583"/>
      <c r="AT849" s="585"/>
      <c r="AU849" s="585"/>
      <c r="AV849" s="585"/>
      <c r="AW849" s="585"/>
      <c r="AX849" s="673"/>
      <c r="AY849" s="380"/>
      <c r="AZ849" s="380"/>
      <c r="BA849" s="380"/>
      <c r="BB849" s="380"/>
      <c r="BC849" s="380"/>
      <c r="BD849" s="380"/>
      <c r="BE849" s="380"/>
      <c r="BF849" s="380"/>
      <c r="BG849" s="380"/>
      <c r="BH849" s="380"/>
      <c r="BI849" s="511"/>
      <c r="BJ849" s="380"/>
      <c r="BK849" s="380"/>
      <c r="BL849" s="380"/>
      <c r="BM849" s="380"/>
      <c r="BN849" s="380"/>
      <c r="BO849" s="380"/>
      <c r="BP849" s="380"/>
      <c r="BQ849" s="380"/>
      <c r="BR849" s="380"/>
    </row>
    <row r="850" spans="1:70" ht="12.75" customHeight="1" x14ac:dyDescent="0.25">
      <c r="A850" s="380"/>
      <c r="B850" s="380"/>
      <c r="C850" s="380"/>
      <c r="D850" s="380"/>
      <c r="E850" s="511"/>
      <c r="F850" s="511"/>
      <c r="G850" s="582"/>
      <c r="H850" s="511"/>
      <c r="I850" s="511"/>
      <c r="J850" s="582"/>
      <c r="K850" s="511"/>
      <c r="L850" s="511"/>
      <c r="M850" s="582"/>
      <c r="N850" s="582"/>
      <c r="O850" s="582"/>
      <c r="P850" s="582"/>
      <c r="Q850" s="511"/>
      <c r="R850" s="511"/>
      <c r="S850" s="511"/>
      <c r="T850" s="639"/>
      <c r="U850" s="511"/>
      <c r="V850" s="511"/>
      <c r="W850" s="511"/>
      <c r="X850" s="511"/>
      <c r="Y850" s="380"/>
      <c r="Z850" s="380"/>
      <c r="AA850" s="380"/>
      <c r="AB850" s="380"/>
      <c r="AC850" s="380"/>
      <c r="AD850" s="671"/>
      <c r="AE850" s="380"/>
      <c r="AF850" s="380"/>
      <c r="AG850" s="380"/>
      <c r="AH850" s="671"/>
      <c r="AI850" s="380"/>
      <c r="AJ850" s="583"/>
      <c r="AK850" s="583"/>
      <c r="AL850" s="511"/>
      <c r="AM850" s="584"/>
      <c r="AN850" s="584"/>
      <c r="AO850" s="584"/>
      <c r="AP850" s="671"/>
      <c r="AQ850" s="584"/>
      <c r="AR850" s="583"/>
      <c r="AS850" s="583"/>
      <c r="AT850" s="585"/>
      <c r="AU850" s="585"/>
      <c r="AV850" s="585"/>
      <c r="AW850" s="585"/>
      <c r="AX850" s="673"/>
      <c r="AY850" s="380"/>
      <c r="AZ850" s="380"/>
      <c r="BA850" s="380"/>
      <c r="BB850" s="380"/>
      <c r="BC850" s="380"/>
      <c r="BD850" s="380"/>
      <c r="BE850" s="380"/>
      <c r="BF850" s="380"/>
      <c r="BG850" s="380"/>
      <c r="BH850" s="380"/>
      <c r="BI850" s="511"/>
      <c r="BJ850" s="380"/>
      <c r="BK850" s="380"/>
      <c r="BL850" s="380"/>
      <c r="BM850" s="380"/>
      <c r="BN850" s="380"/>
      <c r="BO850" s="380"/>
      <c r="BP850" s="380"/>
      <c r="BQ850" s="380"/>
      <c r="BR850" s="380"/>
    </row>
    <row r="851" spans="1:70" ht="12.75" customHeight="1" x14ac:dyDescent="0.25">
      <c r="A851" s="380"/>
      <c r="B851" s="380"/>
      <c r="C851" s="380"/>
      <c r="D851" s="380"/>
      <c r="E851" s="511"/>
      <c r="F851" s="511"/>
      <c r="G851" s="582"/>
      <c r="H851" s="511"/>
      <c r="I851" s="511"/>
      <c r="J851" s="582"/>
      <c r="K851" s="511"/>
      <c r="L851" s="511"/>
      <c r="M851" s="582"/>
      <c r="N851" s="582"/>
      <c r="O851" s="582"/>
      <c r="P851" s="582"/>
      <c r="Q851" s="511"/>
      <c r="R851" s="511"/>
      <c r="S851" s="511"/>
      <c r="T851" s="639"/>
      <c r="U851" s="511"/>
      <c r="V851" s="511"/>
      <c r="W851" s="511"/>
      <c r="X851" s="511"/>
      <c r="Y851" s="380"/>
      <c r="Z851" s="380"/>
      <c r="AA851" s="380"/>
      <c r="AB851" s="380"/>
      <c r="AC851" s="380"/>
      <c r="AD851" s="671"/>
      <c r="AE851" s="380"/>
      <c r="AF851" s="380"/>
      <c r="AG851" s="380"/>
      <c r="AH851" s="671"/>
      <c r="AI851" s="380"/>
      <c r="AJ851" s="583"/>
      <c r="AK851" s="583"/>
      <c r="AL851" s="511"/>
      <c r="AM851" s="584"/>
      <c r="AN851" s="584"/>
      <c r="AO851" s="584"/>
      <c r="AP851" s="671"/>
      <c r="AQ851" s="584"/>
      <c r="AR851" s="583"/>
      <c r="AS851" s="583"/>
      <c r="AT851" s="585"/>
      <c r="AU851" s="585"/>
      <c r="AV851" s="585"/>
      <c r="AW851" s="585"/>
      <c r="AX851" s="673"/>
      <c r="AY851" s="380"/>
      <c r="AZ851" s="380"/>
      <c r="BA851" s="380"/>
      <c r="BB851" s="380"/>
      <c r="BC851" s="380"/>
      <c r="BD851" s="380"/>
      <c r="BE851" s="380"/>
      <c r="BF851" s="380"/>
      <c r="BG851" s="380"/>
      <c r="BH851" s="380"/>
      <c r="BI851" s="511"/>
      <c r="BJ851" s="380"/>
      <c r="BK851" s="380"/>
      <c r="BL851" s="380"/>
      <c r="BM851" s="380"/>
      <c r="BN851" s="380"/>
      <c r="BO851" s="380"/>
      <c r="BP851" s="380"/>
      <c r="BQ851" s="380"/>
      <c r="BR851" s="380"/>
    </row>
    <row r="852" spans="1:70" ht="12.75" customHeight="1" x14ac:dyDescent="0.25">
      <c r="A852" s="380"/>
      <c r="B852" s="380"/>
      <c r="C852" s="380"/>
      <c r="D852" s="380"/>
      <c r="E852" s="511"/>
      <c r="F852" s="511"/>
      <c r="G852" s="582"/>
      <c r="H852" s="511"/>
      <c r="I852" s="511"/>
      <c r="J852" s="582"/>
      <c r="K852" s="511"/>
      <c r="L852" s="511"/>
      <c r="M852" s="582"/>
      <c r="N852" s="582"/>
      <c r="O852" s="582"/>
      <c r="P852" s="582"/>
      <c r="Q852" s="511"/>
      <c r="R852" s="511"/>
      <c r="S852" s="511"/>
      <c r="T852" s="639"/>
      <c r="U852" s="511"/>
      <c r="V852" s="511"/>
      <c r="W852" s="511"/>
      <c r="X852" s="511"/>
      <c r="Y852" s="380"/>
      <c r="Z852" s="380"/>
      <c r="AA852" s="380"/>
      <c r="AB852" s="380"/>
      <c r="AC852" s="380"/>
      <c r="AD852" s="671"/>
      <c r="AE852" s="380"/>
      <c r="AF852" s="380"/>
      <c r="AG852" s="380"/>
      <c r="AH852" s="671"/>
      <c r="AI852" s="380"/>
      <c r="AJ852" s="583"/>
      <c r="AK852" s="583"/>
      <c r="AL852" s="511"/>
      <c r="AM852" s="584"/>
      <c r="AN852" s="584"/>
      <c r="AO852" s="584"/>
      <c r="AP852" s="671"/>
      <c r="AQ852" s="584"/>
      <c r="AR852" s="583"/>
      <c r="AS852" s="583"/>
      <c r="AT852" s="585"/>
      <c r="AU852" s="585"/>
      <c r="AV852" s="585"/>
      <c r="AW852" s="585"/>
      <c r="AX852" s="673"/>
      <c r="AY852" s="380"/>
      <c r="AZ852" s="380"/>
      <c r="BA852" s="380"/>
      <c r="BB852" s="380"/>
      <c r="BC852" s="380"/>
      <c r="BD852" s="380"/>
      <c r="BE852" s="380"/>
      <c r="BF852" s="380"/>
      <c r="BG852" s="380"/>
      <c r="BH852" s="380"/>
      <c r="BI852" s="511"/>
      <c r="BJ852" s="380"/>
      <c r="BK852" s="380"/>
      <c r="BL852" s="380"/>
      <c r="BM852" s="380"/>
      <c r="BN852" s="380"/>
      <c r="BO852" s="380"/>
      <c r="BP852" s="380"/>
      <c r="BQ852" s="380"/>
      <c r="BR852" s="380"/>
    </row>
    <row r="853" spans="1:70" ht="12.75" customHeight="1" x14ac:dyDescent="0.25">
      <c r="A853" s="380"/>
      <c r="B853" s="380"/>
      <c r="C853" s="380"/>
      <c r="D853" s="380"/>
      <c r="E853" s="511"/>
      <c r="F853" s="511"/>
      <c r="G853" s="582"/>
      <c r="H853" s="511"/>
      <c r="I853" s="511"/>
      <c r="J853" s="582"/>
      <c r="K853" s="511"/>
      <c r="L853" s="511"/>
      <c r="M853" s="582"/>
      <c r="N853" s="582"/>
      <c r="O853" s="582"/>
      <c r="P853" s="582"/>
      <c r="Q853" s="511"/>
      <c r="R853" s="511"/>
      <c r="S853" s="511"/>
      <c r="T853" s="639"/>
      <c r="U853" s="511"/>
      <c r="V853" s="511"/>
      <c r="W853" s="511"/>
      <c r="X853" s="511"/>
      <c r="Y853" s="380"/>
      <c r="Z853" s="380"/>
      <c r="AA853" s="380"/>
      <c r="AB853" s="380"/>
      <c r="AC853" s="380"/>
      <c r="AD853" s="671"/>
      <c r="AE853" s="380"/>
      <c r="AF853" s="380"/>
      <c r="AG853" s="380"/>
      <c r="AH853" s="671"/>
      <c r="AI853" s="380"/>
      <c r="AJ853" s="583"/>
      <c r="AK853" s="583"/>
      <c r="AL853" s="511"/>
      <c r="AM853" s="584"/>
      <c r="AN853" s="584"/>
      <c r="AO853" s="584"/>
      <c r="AP853" s="671"/>
      <c r="AQ853" s="584"/>
      <c r="AR853" s="583"/>
      <c r="AS853" s="583"/>
      <c r="AT853" s="585"/>
      <c r="AU853" s="585"/>
      <c r="AV853" s="585"/>
      <c r="AW853" s="585"/>
      <c r="AX853" s="673"/>
      <c r="AY853" s="380"/>
      <c r="AZ853" s="380"/>
      <c r="BA853" s="380"/>
      <c r="BB853" s="380"/>
      <c r="BC853" s="380"/>
      <c r="BD853" s="380"/>
      <c r="BE853" s="380"/>
      <c r="BF853" s="380"/>
      <c r="BG853" s="380"/>
      <c r="BH853" s="380"/>
      <c r="BI853" s="511"/>
      <c r="BJ853" s="380"/>
      <c r="BK853" s="380"/>
      <c r="BL853" s="380"/>
      <c r="BM853" s="380"/>
      <c r="BN853" s="380"/>
      <c r="BO853" s="380"/>
      <c r="BP853" s="380"/>
      <c r="BQ853" s="380"/>
      <c r="BR853" s="380"/>
    </row>
    <row r="854" spans="1:70" ht="12.75" customHeight="1" x14ac:dyDescent="0.25">
      <c r="A854" s="380"/>
      <c r="B854" s="380"/>
      <c r="C854" s="380"/>
      <c r="D854" s="380"/>
      <c r="E854" s="511"/>
      <c r="F854" s="511"/>
      <c r="G854" s="582"/>
      <c r="H854" s="511"/>
      <c r="I854" s="511"/>
      <c r="J854" s="582"/>
      <c r="K854" s="511"/>
      <c r="L854" s="511"/>
      <c r="M854" s="582"/>
      <c r="N854" s="582"/>
      <c r="O854" s="582"/>
      <c r="P854" s="582"/>
      <c r="Q854" s="511"/>
      <c r="R854" s="511"/>
      <c r="S854" s="511"/>
      <c r="T854" s="639"/>
      <c r="U854" s="511"/>
      <c r="V854" s="511"/>
      <c r="W854" s="511"/>
      <c r="X854" s="511"/>
      <c r="Y854" s="380"/>
      <c r="Z854" s="380"/>
      <c r="AA854" s="380"/>
      <c r="AB854" s="380"/>
      <c r="AC854" s="380"/>
      <c r="AD854" s="671"/>
      <c r="AE854" s="380"/>
      <c r="AF854" s="380"/>
      <c r="AG854" s="380"/>
      <c r="AH854" s="671"/>
      <c r="AI854" s="380"/>
      <c r="AJ854" s="583"/>
      <c r="AK854" s="583"/>
      <c r="AL854" s="511"/>
      <c r="AM854" s="584"/>
      <c r="AN854" s="584"/>
      <c r="AO854" s="584"/>
      <c r="AP854" s="671"/>
      <c r="AQ854" s="584"/>
      <c r="AR854" s="583"/>
      <c r="AS854" s="583"/>
      <c r="AT854" s="585"/>
      <c r="AU854" s="585"/>
      <c r="AV854" s="585"/>
      <c r="AW854" s="585"/>
      <c r="AX854" s="673"/>
      <c r="AY854" s="380"/>
      <c r="AZ854" s="380"/>
      <c r="BA854" s="380"/>
      <c r="BB854" s="380"/>
      <c r="BC854" s="380"/>
      <c r="BD854" s="380"/>
      <c r="BE854" s="380"/>
      <c r="BF854" s="380"/>
      <c r="BG854" s="380"/>
      <c r="BH854" s="380"/>
      <c r="BI854" s="511"/>
      <c r="BJ854" s="380"/>
      <c r="BK854" s="380"/>
      <c r="BL854" s="380"/>
      <c r="BM854" s="380"/>
      <c r="BN854" s="380"/>
      <c r="BO854" s="380"/>
      <c r="BP854" s="380"/>
      <c r="BQ854" s="380"/>
      <c r="BR854" s="380"/>
    </row>
    <row r="855" spans="1:70" ht="12.75" customHeight="1" x14ac:dyDescent="0.25">
      <c r="A855" s="380"/>
      <c r="B855" s="380"/>
      <c r="C855" s="380"/>
      <c r="D855" s="380"/>
      <c r="E855" s="511"/>
      <c r="F855" s="511"/>
      <c r="G855" s="582"/>
      <c r="H855" s="511"/>
      <c r="I855" s="511"/>
      <c r="J855" s="582"/>
      <c r="K855" s="511"/>
      <c r="L855" s="511"/>
      <c r="M855" s="582"/>
      <c r="N855" s="582"/>
      <c r="O855" s="582"/>
      <c r="P855" s="582"/>
      <c r="Q855" s="511"/>
      <c r="R855" s="511"/>
      <c r="S855" s="511"/>
      <c r="T855" s="639"/>
      <c r="U855" s="511"/>
      <c r="V855" s="511"/>
      <c r="W855" s="511"/>
      <c r="X855" s="511"/>
      <c r="Y855" s="380"/>
      <c r="Z855" s="380"/>
      <c r="AA855" s="380"/>
      <c r="AB855" s="380"/>
      <c r="AC855" s="380"/>
      <c r="AD855" s="671"/>
      <c r="AE855" s="380"/>
      <c r="AF855" s="380"/>
      <c r="AG855" s="380"/>
      <c r="AH855" s="671"/>
      <c r="AI855" s="380"/>
      <c r="AJ855" s="583"/>
      <c r="AK855" s="583"/>
      <c r="AL855" s="511"/>
      <c r="AM855" s="584"/>
      <c r="AN855" s="584"/>
      <c r="AO855" s="584"/>
      <c r="AP855" s="671"/>
      <c r="AQ855" s="584"/>
      <c r="AR855" s="583"/>
      <c r="AS855" s="583"/>
      <c r="AT855" s="585"/>
      <c r="AU855" s="585"/>
      <c r="AV855" s="585"/>
      <c r="AW855" s="585"/>
      <c r="AX855" s="673"/>
      <c r="AY855" s="380"/>
      <c r="AZ855" s="380"/>
      <c r="BA855" s="380"/>
      <c r="BB855" s="380"/>
      <c r="BC855" s="380"/>
      <c r="BD855" s="380"/>
      <c r="BE855" s="380"/>
      <c r="BF855" s="380"/>
      <c r="BG855" s="380"/>
      <c r="BH855" s="380"/>
      <c r="BI855" s="511"/>
      <c r="BJ855" s="380"/>
      <c r="BK855" s="380"/>
      <c r="BL855" s="380"/>
      <c r="BM855" s="380"/>
      <c r="BN855" s="380"/>
      <c r="BO855" s="380"/>
      <c r="BP855" s="380"/>
      <c r="BQ855" s="380"/>
      <c r="BR855" s="380"/>
    </row>
    <row r="856" spans="1:70" ht="12.75" customHeight="1" x14ac:dyDescent="0.25">
      <c r="A856" s="380"/>
      <c r="B856" s="380"/>
      <c r="C856" s="380"/>
      <c r="D856" s="380"/>
      <c r="E856" s="511"/>
      <c r="F856" s="511"/>
      <c r="G856" s="582"/>
      <c r="H856" s="511"/>
      <c r="I856" s="511"/>
      <c r="J856" s="582"/>
      <c r="K856" s="511"/>
      <c r="L856" s="511"/>
      <c r="M856" s="582"/>
      <c r="N856" s="582"/>
      <c r="O856" s="582"/>
      <c r="P856" s="582"/>
      <c r="Q856" s="511"/>
      <c r="R856" s="511"/>
      <c r="S856" s="511"/>
      <c r="T856" s="639"/>
      <c r="U856" s="511"/>
      <c r="V856" s="511"/>
      <c r="W856" s="511"/>
      <c r="X856" s="511"/>
      <c r="Y856" s="380"/>
      <c r="Z856" s="380"/>
      <c r="AA856" s="380"/>
      <c r="AB856" s="380"/>
      <c r="AC856" s="380"/>
      <c r="AD856" s="671"/>
      <c r="AE856" s="380"/>
      <c r="AF856" s="380"/>
      <c r="AG856" s="380"/>
      <c r="AH856" s="671"/>
      <c r="AI856" s="380"/>
      <c r="AJ856" s="583"/>
      <c r="AK856" s="583"/>
      <c r="AL856" s="511"/>
      <c r="AM856" s="584"/>
      <c r="AN856" s="584"/>
      <c r="AO856" s="584"/>
      <c r="AP856" s="671"/>
      <c r="AQ856" s="584"/>
      <c r="AR856" s="583"/>
      <c r="AS856" s="583"/>
      <c r="AT856" s="585"/>
      <c r="AU856" s="585"/>
      <c r="AV856" s="585"/>
      <c r="AW856" s="585"/>
      <c r="AX856" s="673"/>
      <c r="AY856" s="380"/>
      <c r="AZ856" s="380"/>
      <c r="BA856" s="380"/>
      <c r="BB856" s="380"/>
      <c r="BC856" s="380"/>
      <c r="BD856" s="380"/>
      <c r="BE856" s="380"/>
      <c r="BF856" s="380"/>
      <c r="BG856" s="380"/>
      <c r="BH856" s="380"/>
      <c r="BI856" s="511"/>
      <c r="BJ856" s="380"/>
      <c r="BK856" s="380"/>
      <c r="BL856" s="380"/>
      <c r="BM856" s="380"/>
      <c r="BN856" s="380"/>
      <c r="BO856" s="380"/>
      <c r="BP856" s="380"/>
      <c r="BQ856" s="380"/>
      <c r="BR856" s="380"/>
    </row>
    <row r="857" spans="1:70" ht="12.75" customHeight="1" x14ac:dyDescent="0.25">
      <c r="A857" s="380"/>
      <c r="B857" s="380"/>
      <c r="C857" s="380"/>
      <c r="D857" s="380"/>
      <c r="E857" s="511"/>
      <c r="F857" s="511"/>
      <c r="G857" s="582"/>
      <c r="H857" s="511"/>
      <c r="I857" s="511"/>
      <c r="J857" s="582"/>
      <c r="K857" s="511"/>
      <c r="L857" s="511"/>
      <c r="M857" s="582"/>
      <c r="N857" s="582"/>
      <c r="O857" s="582"/>
      <c r="P857" s="582"/>
      <c r="Q857" s="511"/>
      <c r="R857" s="511"/>
      <c r="S857" s="511"/>
      <c r="T857" s="639"/>
      <c r="U857" s="511"/>
      <c r="V857" s="511"/>
      <c r="W857" s="511"/>
      <c r="X857" s="511"/>
      <c r="Y857" s="380"/>
      <c r="Z857" s="380"/>
      <c r="AA857" s="380"/>
      <c r="AB857" s="380"/>
      <c r="AC857" s="380"/>
      <c r="AD857" s="671"/>
      <c r="AE857" s="380"/>
      <c r="AF857" s="380"/>
      <c r="AG857" s="380"/>
      <c r="AH857" s="671"/>
      <c r="AI857" s="380"/>
      <c r="AJ857" s="583"/>
      <c r="AK857" s="583"/>
      <c r="AL857" s="511"/>
      <c r="AM857" s="584"/>
      <c r="AN857" s="584"/>
      <c r="AO857" s="584"/>
      <c r="AP857" s="671"/>
      <c r="AQ857" s="584"/>
      <c r="AR857" s="583"/>
      <c r="AS857" s="583"/>
      <c r="AT857" s="585"/>
      <c r="AU857" s="585"/>
      <c r="AV857" s="585"/>
      <c r="AW857" s="585"/>
      <c r="AX857" s="673"/>
      <c r="AY857" s="380"/>
      <c r="AZ857" s="380"/>
      <c r="BA857" s="380"/>
      <c r="BB857" s="380"/>
      <c r="BC857" s="380"/>
      <c r="BD857" s="380"/>
      <c r="BE857" s="380"/>
      <c r="BF857" s="380"/>
      <c r="BG857" s="380"/>
      <c r="BH857" s="380"/>
      <c r="BI857" s="511"/>
      <c r="BJ857" s="380"/>
      <c r="BK857" s="380"/>
      <c r="BL857" s="380"/>
      <c r="BM857" s="380"/>
      <c r="BN857" s="380"/>
      <c r="BO857" s="380"/>
      <c r="BP857" s="380"/>
      <c r="BQ857" s="380"/>
      <c r="BR857" s="380"/>
    </row>
    <row r="858" spans="1:70" ht="12.75" customHeight="1" x14ac:dyDescent="0.25">
      <c r="A858" s="380"/>
      <c r="B858" s="380"/>
      <c r="C858" s="380"/>
      <c r="D858" s="380"/>
      <c r="E858" s="511"/>
      <c r="F858" s="511"/>
      <c r="G858" s="582"/>
      <c r="H858" s="511"/>
      <c r="I858" s="511"/>
      <c r="J858" s="582"/>
      <c r="K858" s="511"/>
      <c r="L858" s="511"/>
      <c r="M858" s="582"/>
      <c r="N858" s="582"/>
      <c r="O858" s="582"/>
      <c r="P858" s="582"/>
      <c r="Q858" s="511"/>
      <c r="R858" s="511"/>
      <c r="S858" s="511"/>
      <c r="T858" s="639"/>
      <c r="U858" s="511"/>
      <c r="V858" s="511"/>
      <c r="W858" s="511"/>
      <c r="X858" s="511"/>
      <c r="Y858" s="380"/>
      <c r="Z858" s="380"/>
      <c r="AA858" s="380"/>
      <c r="AB858" s="380"/>
      <c r="AC858" s="380"/>
      <c r="AD858" s="671"/>
      <c r="AE858" s="380"/>
      <c r="AF858" s="380"/>
      <c r="AG858" s="380"/>
      <c r="AH858" s="671"/>
      <c r="AI858" s="380"/>
      <c r="AJ858" s="583"/>
      <c r="AK858" s="583"/>
      <c r="AL858" s="511"/>
      <c r="AM858" s="584"/>
      <c r="AN858" s="584"/>
      <c r="AO858" s="584"/>
      <c r="AP858" s="671"/>
      <c r="AQ858" s="584"/>
      <c r="AR858" s="583"/>
      <c r="AS858" s="583"/>
      <c r="AT858" s="585"/>
      <c r="AU858" s="585"/>
      <c r="AV858" s="585"/>
      <c r="AW858" s="585"/>
      <c r="AX858" s="673"/>
      <c r="AY858" s="380"/>
      <c r="AZ858" s="380"/>
      <c r="BA858" s="380"/>
      <c r="BB858" s="380"/>
      <c r="BC858" s="380"/>
      <c r="BD858" s="380"/>
      <c r="BE858" s="380"/>
      <c r="BF858" s="380"/>
      <c r="BG858" s="380"/>
      <c r="BH858" s="380"/>
      <c r="BI858" s="511"/>
      <c r="BJ858" s="380"/>
      <c r="BK858" s="380"/>
      <c r="BL858" s="380"/>
      <c r="BM858" s="380"/>
      <c r="BN858" s="380"/>
      <c r="BO858" s="380"/>
      <c r="BP858" s="380"/>
      <c r="BQ858" s="380"/>
      <c r="BR858" s="380"/>
    </row>
    <row r="859" spans="1:70" ht="12.75" customHeight="1" x14ac:dyDescent="0.25">
      <c r="A859" s="380"/>
      <c r="B859" s="380"/>
      <c r="C859" s="380"/>
      <c r="D859" s="380"/>
      <c r="E859" s="511"/>
      <c r="F859" s="511"/>
      <c r="G859" s="582"/>
      <c r="H859" s="511"/>
      <c r="I859" s="511"/>
      <c r="J859" s="582"/>
      <c r="K859" s="511"/>
      <c r="L859" s="511"/>
      <c r="M859" s="582"/>
      <c r="N859" s="582"/>
      <c r="O859" s="582"/>
      <c r="P859" s="582"/>
      <c r="Q859" s="511"/>
      <c r="R859" s="511"/>
      <c r="S859" s="511"/>
      <c r="T859" s="639"/>
      <c r="U859" s="511"/>
      <c r="V859" s="511"/>
      <c r="W859" s="511"/>
      <c r="X859" s="511"/>
      <c r="Y859" s="380"/>
      <c r="Z859" s="380"/>
      <c r="AA859" s="380"/>
      <c r="AB859" s="380"/>
      <c r="AC859" s="380"/>
      <c r="AD859" s="671"/>
      <c r="AE859" s="380"/>
      <c r="AF859" s="380"/>
      <c r="AG859" s="380"/>
      <c r="AH859" s="671"/>
      <c r="AI859" s="380"/>
      <c r="AJ859" s="583"/>
      <c r="AK859" s="583"/>
      <c r="AL859" s="511"/>
      <c r="AM859" s="584"/>
      <c r="AN859" s="584"/>
      <c r="AO859" s="584"/>
      <c r="AP859" s="671"/>
      <c r="AQ859" s="584"/>
      <c r="AR859" s="583"/>
      <c r="AS859" s="583"/>
      <c r="AT859" s="585"/>
      <c r="AU859" s="585"/>
      <c r="AV859" s="585"/>
      <c r="AW859" s="585"/>
      <c r="AX859" s="673"/>
      <c r="AY859" s="380"/>
      <c r="AZ859" s="380"/>
      <c r="BA859" s="380"/>
      <c r="BB859" s="380"/>
      <c r="BC859" s="380"/>
      <c r="BD859" s="380"/>
      <c r="BE859" s="380"/>
      <c r="BF859" s="380"/>
      <c r="BG859" s="380"/>
      <c r="BH859" s="380"/>
      <c r="BI859" s="511"/>
      <c r="BJ859" s="380"/>
      <c r="BK859" s="380"/>
      <c r="BL859" s="380"/>
      <c r="BM859" s="380"/>
      <c r="BN859" s="380"/>
      <c r="BO859" s="380"/>
      <c r="BP859" s="380"/>
      <c r="BQ859" s="380"/>
      <c r="BR859" s="380"/>
    </row>
    <row r="860" spans="1:70" ht="12.75" customHeight="1" x14ac:dyDescent="0.25">
      <c r="A860" s="380"/>
      <c r="B860" s="380"/>
      <c r="C860" s="380"/>
      <c r="D860" s="380"/>
      <c r="E860" s="511"/>
      <c r="F860" s="511"/>
      <c r="G860" s="582"/>
      <c r="H860" s="511"/>
      <c r="I860" s="511"/>
      <c r="J860" s="582"/>
      <c r="K860" s="511"/>
      <c r="L860" s="511"/>
      <c r="M860" s="582"/>
      <c r="N860" s="582"/>
      <c r="O860" s="582"/>
      <c r="P860" s="582"/>
      <c r="Q860" s="511"/>
      <c r="R860" s="511"/>
      <c r="S860" s="511"/>
      <c r="T860" s="639"/>
      <c r="U860" s="511"/>
      <c r="V860" s="511"/>
      <c r="W860" s="511"/>
      <c r="X860" s="511"/>
      <c r="Y860" s="380"/>
      <c r="Z860" s="380"/>
      <c r="AA860" s="380"/>
      <c r="AB860" s="380"/>
      <c r="AC860" s="380"/>
      <c r="AD860" s="671"/>
      <c r="AE860" s="380"/>
      <c r="AF860" s="380"/>
      <c r="AG860" s="380"/>
      <c r="AH860" s="671"/>
      <c r="AI860" s="380"/>
      <c r="AJ860" s="583"/>
      <c r="AK860" s="583"/>
      <c r="AL860" s="511"/>
      <c r="AM860" s="584"/>
      <c r="AN860" s="584"/>
      <c r="AO860" s="584"/>
      <c r="AP860" s="671"/>
      <c r="AQ860" s="584"/>
      <c r="AR860" s="583"/>
      <c r="AS860" s="583"/>
      <c r="AT860" s="585"/>
      <c r="AU860" s="585"/>
      <c r="AV860" s="585"/>
      <c r="AW860" s="585"/>
      <c r="AX860" s="673"/>
      <c r="AY860" s="380"/>
      <c r="AZ860" s="380"/>
      <c r="BA860" s="380"/>
      <c r="BB860" s="380"/>
      <c r="BC860" s="380"/>
      <c r="BD860" s="380"/>
      <c r="BE860" s="380"/>
      <c r="BF860" s="380"/>
      <c r="BG860" s="380"/>
      <c r="BH860" s="380"/>
      <c r="BI860" s="511"/>
      <c r="BJ860" s="380"/>
      <c r="BK860" s="380"/>
      <c r="BL860" s="380"/>
      <c r="BM860" s="380"/>
      <c r="BN860" s="380"/>
      <c r="BO860" s="380"/>
      <c r="BP860" s="380"/>
      <c r="BQ860" s="380"/>
      <c r="BR860" s="380"/>
    </row>
    <row r="861" spans="1:70" ht="12.75" customHeight="1" x14ac:dyDescent="0.25">
      <c r="A861" s="380"/>
      <c r="B861" s="380"/>
      <c r="C861" s="380"/>
      <c r="D861" s="380"/>
      <c r="E861" s="511"/>
      <c r="F861" s="511"/>
      <c r="G861" s="582"/>
      <c r="H861" s="511"/>
      <c r="I861" s="511"/>
      <c r="J861" s="582"/>
      <c r="K861" s="511"/>
      <c r="L861" s="511"/>
      <c r="M861" s="582"/>
      <c r="N861" s="582"/>
      <c r="O861" s="582"/>
      <c r="P861" s="582"/>
      <c r="Q861" s="511"/>
      <c r="R861" s="511"/>
      <c r="S861" s="511"/>
      <c r="T861" s="639"/>
      <c r="U861" s="511"/>
      <c r="V861" s="511"/>
      <c r="W861" s="511"/>
      <c r="X861" s="511"/>
      <c r="Y861" s="380"/>
      <c r="Z861" s="380"/>
      <c r="AA861" s="380"/>
      <c r="AB861" s="380"/>
      <c r="AC861" s="380"/>
      <c r="AD861" s="671"/>
      <c r="AE861" s="380"/>
      <c r="AF861" s="380"/>
      <c r="AG861" s="380"/>
      <c r="AH861" s="671"/>
      <c r="AI861" s="380"/>
      <c r="AJ861" s="583"/>
      <c r="AK861" s="583"/>
      <c r="AL861" s="511"/>
      <c r="AM861" s="584"/>
      <c r="AN861" s="584"/>
      <c r="AO861" s="584"/>
      <c r="AP861" s="671"/>
      <c r="AQ861" s="584"/>
      <c r="AR861" s="583"/>
      <c r="AS861" s="583"/>
      <c r="AT861" s="585"/>
      <c r="AU861" s="585"/>
      <c r="AV861" s="585"/>
      <c r="AW861" s="585"/>
      <c r="AX861" s="673"/>
      <c r="AY861" s="380"/>
      <c r="AZ861" s="380"/>
      <c r="BA861" s="380"/>
      <c r="BB861" s="380"/>
      <c r="BC861" s="380"/>
      <c r="BD861" s="380"/>
      <c r="BE861" s="380"/>
      <c r="BF861" s="380"/>
      <c r="BG861" s="380"/>
      <c r="BH861" s="380"/>
      <c r="BI861" s="511"/>
      <c r="BJ861" s="380"/>
      <c r="BK861" s="380"/>
      <c r="BL861" s="380"/>
      <c r="BM861" s="380"/>
      <c r="BN861" s="380"/>
      <c r="BO861" s="380"/>
      <c r="BP861" s="380"/>
      <c r="BQ861" s="380"/>
      <c r="BR861" s="380"/>
    </row>
    <row r="862" spans="1:70" ht="12.75" customHeight="1" x14ac:dyDescent="0.25">
      <c r="A862" s="380"/>
      <c r="B862" s="380"/>
      <c r="C862" s="380"/>
      <c r="D862" s="380"/>
      <c r="E862" s="511"/>
      <c r="F862" s="511"/>
      <c r="G862" s="582"/>
      <c r="H862" s="511"/>
      <c r="I862" s="511"/>
      <c r="J862" s="582"/>
      <c r="K862" s="511"/>
      <c r="L862" s="511"/>
      <c r="M862" s="582"/>
      <c r="N862" s="582"/>
      <c r="O862" s="582"/>
      <c r="P862" s="582"/>
      <c r="Q862" s="511"/>
      <c r="R862" s="511"/>
      <c r="S862" s="511"/>
      <c r="T862" s="639"/>
      <c r="U862" s="511"/>
      <c r="V862" s="511"/>
      <c r="W862" s="511"/>
      <c r="X862" s="511"/>
      <c r="Y862" s="380"/>
      <c r="Z862" s="380"/>
      <c r="AA862" s="380"/>
      <c r="AB862" s="380"/>
      <c r="AC862" s="380"/>
      <c r="AD862" s="671"/>
      <c r="AE862" s="380"/>
      <c r="AF862" s="380"/>
      <c r="AG862" s="380"/>
      <c r="AH862" s="671"/>
      <c r="AI862" s="380"/>
      <c r="AJ862" s="583"/>
      <c r="AK862" s="583"/>
      <c r="AL862" s="511"/>
      <c r="AM862" s="584"/>
      <c r="AN862" s="584"/>
      <c r="AO862" s="584"/>
      <c r="AP862" s="671"/>
      <c r="AQ862" s="584"/>
      <c r="AR862" s="583"/>
      <c r="AS862" s="583"/>
      <c r="AT862" s="585"/>
      <c r="AU862" s="585"/>
      <c r="AV862" s="585"/>
      <c r="AW862" s="585"/>
      <c r="AX862" s="673"/>
      <c r="AY862" s="380"/>
      <c r="AZ862" s="380"/>
      <c r="BA862" s="380"/>
      <c r="BB862" s="380"/>
      <c r="BC862" s="380"/>
      <c r="BD862" s="380"/>
      <c r="BE862" s="380"/>
      <c r="BF862" s="380"/>
      <c r="BG862" s="380"/>
      <c r="BH862" s="380"/>
      <c r="BI862" s="511"/>
      <c r="BJ862" s="380"/>
      <c r="BK862" s="380"/>
      <c r="BL862" s="380"/>
      <c r="BM862" s="380"/>
      <c r="BN862" s="380"/>
      <c r="BO862" s="380"/>
      <c r="BP862" s="380"/>
      <c r="BQ862" s="380"/>
      <c r="BR862" s="380"/>
    </row>
    <row r="863" spans="1:70" ht="12.75" customHeight="1" x14ac:dyDescent="0.25">
      <c r="A863" s="380"/>
      <c r="B863" s="380"/>
      <c r="C863" s="380"/>
      <c r="D863" s="380"/>
      <c r="E863" s="511"/>
      <c r="F863" s="511"/>
      <c r="G863" s="582"/>
      <c r="H863" s="511"/>
      <c r="I863" s="511"/>
      <c r="J863" s="582"/>
      <c r="K863" s="511"/>
      <c r="L863" s="511"/>
      <c r="M863" s="582"/>
      <c r="N863" s="582"/>
      <c r="O863" s="582"/>
      <c r="P863" s="582"/>
      <c r="Q863" s="511"/>
      <c r="R863" s="511"/>
      <c r="S863" s="511"/>
      <c r="T863" s="639"/>
      <c r="U863" s="511"/>
      <c r="V863" s="511"/>
      <c r="W863" s="511"/>
      <c r="X863" s="511"/>
      <c r="Y863" s="380"/>
      <c r="Z863" s="380"/>
      <c r="AA863" s="380"/>
      <c r="AB863" s="380"/>
      <c r="AC863" s="380"/>
      <c r="AD863" s="671"/>
      <c r="AE863" s="380"/>
      <c r="AF863" s="380"/>
      <c r="AG863" s="380"/>
      <c r="AH863" s="671"/>
      <c r="AI863" s="380"/>
      <c r="AJ863" s="583"/>
      <c r="AK863" s="583"/>
      <c r="AL863" s="511"/>
      <c r="AM863" s="584"/>
      <c r="AN863" s="584"/>
      <c r="AO863" s="584"/>
      <c r="AP863" s="671"/>
      <c r="AQ863" s="584"/>
      <c r="AR863" s="583"/>
      <c r="AS863" s="583"/>
      <c r="AT863" s="585"/>
      <c r="AU863" s="585"/>
      <c r="AV863" s="585"/>
      <c r="AW863" s="585"/>
      <c r="AX863" s="673"/>
      <c r="AY863" s="380"/>
      <c r="AZ863" s="380"/>
      <c r="BA863" s="380"/>
      <c r="BB863" s="380"/>
      <c r="BC863" s="380"/>
      <c r="BD863" s="380"/>
      <c r="BE863" s="380"/>
      <c r="BF863" s="380"/>
      <c r="BG863" s="380"/>
      <c r="BH863" s="380"/>
      <c r="BI863" s="511"/>
      <c r="BJ863" s="380"/>
      <c r="BK863" s="380"/>
      <c r="BL863" s="380"/>
      <c r="BM863" s="380"/>
      <c r="BN863" s="380"/>
      <c r="BO863" s="380"/>
      <c r="BP863" s="380"/>
      <c r="BQ863" s="380"/>
      <c r="BR863" s="380"/>
    </row>
    <row r="864" spans="1:70" ht="12.75" customHeight="1" x14ac:dyDescent="0.25">
      <c r="A864" s="380"/>
      <c r="B864" s="380"/>
      <c r="C864" s="380"/>
      <c r="D864" s="380"/>
      <c r="E864" s="511"/>
      <c r="F864" s="511"/>
      <c r="G864" s="582"/>
      <c r="H864" s="511"/>
      <c r="I864" s="511"/>
      <c r="J864" s="582"/>
      <c r="K864" s="511"/>
      <c r="L864" s="511"/>
      <c r="M864" s="582"/>
      <c r="N864" s="582"/>
      <c r="O864" s="582"/>
      <c r="P864" s="582"/>
      <c r="Q864" s="511"/>
      <c r="R864" s="511"/>
      <c r="S864" s="511"/>
      <c r="T864" s="639"/>
      <c r="U864" s="511"/>
      <c r="V864" s="511"/>
      <c r="W864" s="511"/>
      <c r="X864" s="511"/>
      <c r="Y864" s="380"/>
      <c r="Z864" s="380"/>
      <c r="AA864" s="380"/>
      <c r="AB864" s="380"/>
      <c r="AC864" s="380"/>
      <c r="AD864" s="671"/>
      <c r="AE864" s="380"/>
      <c r="AF864" s="380"/>
      <c r="AG864" s="380"/>
      <c r="AH864" s="671"/>
      <c r="AI864" s="380"/>
      <c r="AJ864" s="583"/>
      <c r="AK864" s="583"/>
      <c r="AL864" s="511"/>
      <c r="AM864" s="584"/>
      <c r="AN864" s="584"/>
      <c r="AO864" s="584"/>
      <c r="AP864" s="671"/>
      <c r="AQ864" s="584"/>
      <c r="AR864" s="583"/>
      <c r="AS864" s="583"/>
      <c r="AT864" s="585"/>
      <c r="AU864" s="585"/>
      <c r="AV864" s="585"/>
      <c r="AW864" s="585"/>
      <c r="AX864" s="673"/>
      <c r="AY864" s="380"/>
      <c r="AZ864" s="380"/>
      <c r="BA864" s="380"/>
      <c r="BB864" s="380"/>
      <c r="BC864" s="380"/>
      <c r="BD864" s="380"/>
      <c r="BE864" s="380"/>
      <c r="BF864" s="380"/>
      <c r="BG864" s="380"/>
      <c r="BH864" s="380"/>
      <c r="BI864" s="511"/>
      <c r="BJ864" s="380"/>
      <c r="BK864" s="380"/>
      <c r="BL864" s="380"/>
      <c r="BM864" s="380"/>
      <c r="BN864" s="380"/>
      <c r="BO864" s="380"/>
      <c r="BP864" s="380"/>
      <c r="BQ864" s="380"/>
      <c r="BR864" s="380"/>
    </row>
    <row r="865" spans="1:70" ht="12.75" customHeight="1" x14ac:dyDescent="0.25">
      <c r="A865" s="380"/>
      <c r="B865" s="380"/>
      <c r="C865" s="380"/>
      <c r="D865" s="380"/>
      <c r="E865" s="511"/>
      <c r="F865" s="511"/>
      <c r="G865" s="582"/>
      <c r="H865" s="511"/>
      <c r="I865" s="511"/>
      <c r="J865" s="582"/>
      <c r="K865" s="511"/>
      <c r="L865" s="511"/>
      <c r="M865" s="582"/>
      <c r="N865" s="582"/>
      <c r="O865" s="582"/>
      <c r="P865" s="582"/>
      <c r="Q865" s="511"/>
      <c r="R865" s="511"/>
      <c r="S865" s="511"/>
      <c r="T865" s="639"/>
      <c r="U865" s="511"/>
      <c r="V865" s="511"/>
      <c r="W865" s="511"/>
      <c r="X865" s="511"/>
      <c r="Y865" s="380"/>
      <c r="Z865" s="380"/>
      <c r="AA865" s="380"/>
      <c r="AB865" s="380"/>
      <c r="AC865" s="380"/>
      <c r="AD865" s="671"/>
      <c r="AE865" s="380"/>
      <c r="AF865" s="380"/>
      <c r="AG865" s="380"/>
      <c r="AH865" s="671"/>
      <c r="AI865" s="380"/>
      <c r="AJ865" s="583"/>
      <c r="AK865" s="583"/>
      <c r="AL865" s="511"/>
      <c r="AM865" s="584"/>
      <c r="AN865" s="584"/>
      <c r="AO865" s="584"/>
      <c r="AP865" s="671"/>
      <c r="AQ865" s="584"/>
      <c r="AR865" s="583"/>
      <c r="AS865" s="583"/>
      <c r="AT865" s="585"/>
      <c r="AU865" s="585"/>
      <c r="AV865" s="585"/>
      <c r="AW865" s="585"/>
      <c r="AX865" s="673"/>
      <c r="AY865" s="380"/>
      <c r="AZ865" s="380"/>
      <c r="BA865" s="380"/>
      <c r="BB865" s="380"/>
      <c r="BC865" s="380"/>
      <c r="BD865" s="380"/>
      <c r="BE865" s="380"/>
      <c r="BF865" s="380"/>
      <c r="BG865" s="380"/>
      <c r="BH865" s="380"/>
      <c r="BI865" s="511"/>
      <c r="BJ865" s="380"/>
      <c r="BK865" s="380"/>
      <c r="BL865" s="380"/>
      <c r="BM865" s="380"/>
      <c r="BN865" s="380"/>
      <c r="BO865" s="380"/>
      <c r="BP865" s="380"/>
      <c r="BQ865" s="380"/>
      <c r="BR865" s="380"/>
    </row>
    <row r="866" spans="1:70" ht="12.75" customHeight="1" x14ac:dyDescent="0.25">
      <c r="A866" s="380"/>
      <c r="B866" s="380"/>
      <c r="C866" s="380"/>
      <c r="D866" s="380"/>
      <c r="E866" s="511"/>
      <c r="F866" s="511"/>
      <c r="G866" s="582"/>
      <c r="H866" s="511"/>
      <c r="I866" s="511"/>
      <c r="J866" s="582"/>
      <c r="K866" s="511"/>
      <c r="L866" s="511"/>
      <c r="M866" s="582"/>
      <c r="N866" s="582"/>
      <c r="O866" s="582"/>
      <c r="P866" s="582"/>
      <c r="Q866" s="511"/>
      <c r="R866" s="511"/>
      <c r="S866" s="511"/>
      <c r="T866" s="639"/>
      <c r="U866" s="511"/>
      <c r="V866" s="511"/>
      <c r="W866" s="511"/>
      <c r="X866" s="511"/>
      <c r="Y866" s="380"/>
      <c r="Z866" s="380"/>
      <c r="AA866" s="380"/>
      <c r="AB866" s="380"/>
      <c r="AC866" s="380"/>
      <c r="AD866" s="671"/>
      <c r="AE866" s="380"/>
      <c r="AF866" s="380"/>
      <c r="AG866" s="380"/>
      <c r="AH866" s="671"/>
      <c r="AI866" s="380"/>
      <c r="AJ866" s="583"/>
      <c r="AK866" s="583"/>
      <c r="AL866" s="511"/>
      <c r="AM866" s="584"/>
      <c r="AN866" s="584"/>
      <c r="AO866" s="584"/>
      <c r="AP866" s="671"/>
      <c r="AQ866" s="584"/>
      <c r="AR866" s="583"/>
      <c r="AS866" s="583"/>
      <c r="AT866" s="585"/>
      <c r="AU866" s="585"/>
      <c r="AV866" s="585"/>
      <c r="AW866" s="585"/>
      <c r="AX866" s="673"/>
      <c r="AY866" s="380"/>
      <c r="AZ866" s="380"/>
      <c r="BA866" s="380"/>
      <c r="BB866" s="380"/>
      <c r="BC866" s="380"/>
      <c r="BD866" s="380"/>
      <c r="BE866" s="380"/>
      <c r="BF866" s="380"/>
      <c r="BG866" s="380"/>
      <c r="BH866" s="380"/>
      <c r="BI866" s="511"/>
      <c r="BJ866" s="380"/>
      <c r="BK866" s="380"/>
      <c r="BL866" s="380"/>
      <c r="BM866" s="380"/>
      <c r="BN866" s="380"/>
      <c r="BO866" s="380"/>
      <c r="BP866" s="380"/>
      <c r="BQ866" s="380"/>
      <c r="BR866" s="380"/>
    </row>
    <row r="867" spans="1:70" ht="12.75" customHeight="1" x14ac:dyDescent="0.25">
      <c r="A867" s="380"/>
      <c r="B867" s="380"/>
      <c r="C867" s="380"/>
      <c r="D867" s="380"/>
      <c r="E867" s="511"/>
      <c r="F867" s="511"/>
      <c r="G867" s="582"/>
      <c r="H867" s="511"/>
      <c r="I867" s="511"/>
      <c r="J867" s="582"/>
      <c r="K867" s="511"/>
      <c r="L867" s="511"/>
      <c r="M867" s="582"/>
      <c r="N867" s="582"/>
      <c r="O867" s="582"/>
      <c r="P867" s="582"/>
      <c r="Q867" s="511"/>
      <c r="R867" s="511"/>
      <c r="S867" s="511"/>
      <c r="T867" s="639"/>
      <c r="U867" s="511"/>
      <c r="V867" s="511"/>
      <c r="W867" s="511"/>
      <c r="X867" s="511"/>
      <c r="Y867" s="380"/>
      <c r="Z867" s="380"/>
      <c r="AA867" s="380"/>
      <c r="AB867" s="380"/>
      <c r="AC867" s="380"/>
      <c r="AD867" s="671"/>
      <c r="AE867" s="380"/>
      <c r="AF867" s="380"/>
      <c r="AG867" s="380"/>
      <c r="AH867" s="671"/>
      <c r="AI867" s="380"/>
      <c r="AJ867" s="583"/>
      <c r="AK867" s="583"/>
      <c r="AL867" s="511"/>
      <c r="AM867" s="584"/>
      <c r="AN867" s="584"/>
      <c r="AO867" s="584"/>
      <c r="AP867" s="671"/>
      <c r="AQ867" s="584"/>
      <c r="AR867" s="583"/>
      <c r="AS867" s="583"/>
      <c r="AT867" s="585"/>
      <c r="AU867" s="585"/>
      <c r="AV867" s="585"/>
      <c r="AW867" s="585"/>
      <c r="AX867" s="673"/>
      <c r="AY867" s="380"/>
      <c r="AZ867" s="380"/>
      <c r="BA867" s="380"/>
      <c r="BB867" s="380"/>
      <c r="BC867" s="380"/>
      <c r="BD867" s="380"/>
      <c r="BE867" s="380"/>
      <c r="BF867" s="380"/>
      <c r="BG867" s="380"/>
      <c r="BH867" s="380"/>
      <c r="BI867" s="511"/>
      <c r="BJ867" s="380"/>
      <c r="BK867" s="380"/>
      <c r="BL867" s="380"/>
      <c r="BM867" s="380"/>
      <c r="BN867" s="380"/>
      <c r="BO867" s="380"/>
      <c r="BP867" s="380"/>
      <c r="BQ867" s="380"/>
      <c r="BR867" s="380"/>
    </row>
    <row r="868" spans="1:70" ht="12.75" customHeight="1" x14ac:dyDescent="0.25">
      <c r="A868" s="380"/>
      <c r="B868" s="380"/>
      <c r="C868" s="380"/>
      <c r="D868" s="380"/>
      <c r="E868" s="511"/>
      <c r="F868" s="511"/>
      <c r="G868" s="582"/>
      <c r="H868" s="511"/>
      <c r="I868" s="511"/>
      <c r="J868" s="582"/>
      <c r="K868" s="511"/>
      <c r="L868" s="511"/>
      <c r="M868" s="582"/>
      <c r="N868" s="582"/>
      <c r="O868" s="582"/>
      <c r="P868" s="582"/>
      <c r="Q868" s="511"/>
      <c r="R868" s="511"/>
      <c r="S868" s="511"/>
      <c r="T868" s="639"/>
      <c r="U868" s="511"/>
      <c r="V868" s="511"/>
      <c r="W868" s="511"/>
      <c r="X868" s="511"/>
      <c r="Y868" s="380"/>
      <c r="Z868" s="380"/>
      <c r="AA868" s="380"/>
      <c r="AB868" s="380"/>
      <c r="AC868" s="380"/>
      <c r="AD868" s="671"/>
      <c r="AE868" s="380"/>
      <c r="AF868" s="380"/>
      <c r="AG868" s="380"/>
      <c r="AH868" s="671"/>
      <c r="AI868" s="380"/>
      <c r="AJ868" s="583"/>
      <c r="AK868" s="583"/>
      <c r="AL868" s="511"/>
      <c r="AM868" s="584"/>
      <c r="AN868" s="584"/>
      <c r="AO868" s="584"/>
      <c r="AP868" s="671"/>
      <c r="AQ868" s="584"/>
      <c r="AR868" s="583"/>
      <c r="AS868" s="583"/>
      <c r="AT868" s="585"/>
      <c r="AU868" s="585"/>
      <c r="AV868" s="585"/>
      <c r="AW868" s="585"/>
      <c r="AX868" s="673"/>
      <c r="AY868" s="380"/>
      <c r="AZ868" s="380"/>
      <c r="BA868" s="380"/>
      <c r="BB868" s="380"/>
      <c r="BC868" s="380"/>
      <c r="BD868" s="380"/>
      <c r="BE868" s="380"/>
      <c r="BF868" s="380"/>
      <c r="BG868" s="380"/>
      <c r="BH868" s="380"/>
      <c r="BI868" s="511"/>
      <c r="BJ868" s="380"/>
      <c r="BK868" s="380"/>
      <c r="BL868" s="380"/>
      <c r="BM868" s="380"/>
      <c r="BN868" s="380"/>
      <c r="BO868" s="380"/>
      <c r="BP868" s="380"/>
      <c r="BQ868" s="380"/>
      <c r="BR868" s="380"/>
    </row>
    <row r="869" spans="1:70" ht="12.75" customHeight="1" x14ac:dyDescent="0.25">
      <c r="A869" s="380"/>
      <c r="B869" s="380"/>
      <c r="C869" s="380"/>
      <c r="D869" s="380"/>
      <c r="E869" s="511"/>
      <c r="F869" s="511"/>
      <c r="G869" s="582"/>
      <c r="H869" s="511"/>
      <c r="I869" s="511"/>
      <c r="J869" s="582"/>
      <c r="K869" s="511"/>
      <c r="L869" s="511"/>
      <c r="M869" s="582"/>
      <c r="N869" s="582"/>
      <c r="O869" s="582"/>
      <c r="P869" s="582"/>
      <c r="Q869" s="511"/>
      <c r="R869" s="511"/>
      <c r="S869" s="511"/>
      <c r="T869" s="639"/>
      <c r="U869" s="511"/>
      <c r="V869" s="511"/>
      <c r="W869" s="511"/>
      <c r="X869" s="511"/>
      <c r="Y869" s="380"/>
      <c r="Z869" s="380"/>
      <c r="AA869" s="380"/>
      <c r="AB869" s="380"/>
      <c r="AC869" s="380"/>
      <c r="AD869" s="671"/>
      <c r="AE869" s="380"/>
      <c r="AF869" s="380"/>
      <c r="AG869" s="380"/>
      <c r="AH869" s="671"/>
      <c r="AI869" s="380"/>
      <c r="AJ869" s="583"/>
      <c r="AK869" s="583"/>
      <c r="AL869" s="511"/>
      <c r="AM869" s="584"/>
      <c r="AN869" s="584"/>
      <c r="AO869" s="584"/>
      <c r="AP869" s="671"/>
      <c r="AQ869" s="584"/>
      <c r="AR869" s="583"/>
      <c r="AS869" s="583"/>
      <c r="AT869" s="585"/>
      <c r="AU869" s="585"/>
      <c r="AV869" s="585"/>
      <c r="AW869" s="585"/>
      <c r="AX869" s="673"/>
      <c r="AY869" s="380"/>
      <c r="AZ869" s="380"/>
      <c r="BA869" s="380"/>
      <c r="BB869" s="380"/>
      <c r="BC869" s="380"/>
      <c r="BD869" s="380"/>
      <c r="BE869" s="380"/>
      <c r="BF869" s="380"/>
      <c r="BG869" s="380"/>
      <c r="BH869" s="380"/>
      <c r="BI869" s="511"/>
      <c r="BJ869" s="380"/>
      <c r="BK869" s="380"/>
      <c r="BL869" s="380"/>
      <c r="BM869" s="380"/>
      <c r="BN869" s="380"/>
      <c r="BO869" s="380"/>
      <c r="BP869" s="380"/>
      <c r="BQ869" s="380"/>
      <c r="BR869" s="380"/>
    </row>
  </sheetData>
  <autoFilter ref="A2:BR108" xr:uid="{2B64C22F-E367-4A0A-87D5-BAEF72DB1B5C}">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autoFilter>
  <mergeCells count="39">
    <mergeCell ref="BJ5:BJ6"/>
    <mergeCell ref="BK5:BK6"/>
    <mergeCell ref="V5:V6"/>
    <mergeCell ref="W5:W6"/>
    <mergeCell ref="AX5:BA5"/>
    <mergeCell ref="BB5:BE5"/>
    <mergeCell ref="BF5:BI5"/>
    <mergeCell ref="A69:A70"/>
    <mergeCell ref="A108:O108"/>
    <mergeCell ref="BQ5:BQ6"/>
    <mergeCell ref="BR5:BR6"/>
    <mergeCell ref="BP5:BP6"/>
    <mergeCell ref="Z5:AC5"/>
    <mergeCell ref="AD5:AG5"/>
    <mergeCell ref="AH5:AK5"/>
    <mergeCell ref="AL5:AO5"/>
    <mergeCell ref="AP5:AS5"/>
    <mergeCell ref="BL5:BL6"/>
    <mergeCell ref="AT5:AW5"/>
    <mergeCell ref="T38:T39"/>
    <mergeCell ref="A5:A6"/>
    <mergeCell ref="B5:B6"/>
    <mergeCell ref="C5:C6"/>
    <mergeCell ref="D5:G5"/>
    <mergeCell ref="H5:K5"/>
    <mergeCell ref="X5:X6"/>
    <mergeCell ref="L5:O5"/>
    <mergeCell ref="A1:BR1"/>
    <mergeCell ref="A2:BR2"/>
    <mergeCell ref="A3:BR3"/>
    <mergeCell ref="C4:AC4"/>
    <mergeCell ref="AD4:BN4"/>
    <mergeCell ref="BO4:BR4"/>
    <mergeCell ref="BM5:BM6"/>
    <mergeCell ref="BN5:BN6"/>
    <mergeCell ref="BO5:BO6"/>
    <mergeCell ref="P5:S5"/>
    <mergeCell ref="T5:T6"/>
    <mergeCell ref="U5:U6"/>
  </mergeCells>
  <dataValidations xWindow="930" yWindow="514" count="1">
    <dataValidation type="whole" allowBlank="1" showInputMessage="1" showErrorMessage="1" prompt="Valor entero. Entre 1 y 100." sqref="Y70:Y107 Y66:Y67 Y7:Y59 Y61:Y64" xr:uid="{34DFE316-EFA7-4DE7-A601-A131A2B5A864}">
      <formula1>1</formula1>
      <formula2>100</formula2>
    </dataValidation>
  </dataValidations>
  <printOptions horizontalCentered="1" verticalCentered="1"/>
  <pageMargins left="0" right="0" top="0.98425196850393704" bottom="0.98425196850393704" header="0" footer="0"/>
  <pageSetup paperSize="5" scale="27" orientation="landscape" r:id="rId1"/>
  <rowBreaks count="2" manualBreakCount="2">
    <brk id="25" max="69" man="1"/>
    <brk id="54" max="69" man="1"/>
  </rowBreaks>
  <colBreaks count="3" manualBreakCount="3">
    <brk id="29" max="107" man="1"/>
    <brk id="49" max="107" man="1"/>
    <brk id="61" max="107"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6370E-EA17-470D-B545-BD5181DF496A}">
  <dimension ref="A1:BL115"/>
  <sheetViews>
    <sheetView zoomScale="85" zoomScaleNormal="85" workbookViewId="0">
      <pane xSplit="1" ySplit="2" topLeftCell="B93" activePane="bottomRight" state="frozen"/>
      <selection pane="topRight" activeCell="R7" sqref="R7"/>
      <selection pane="bottomLeft" activeCell="R7" sqref="R7"/>
      <selection pane="bottomRight" activeCell="A95" sqref="A95"/>
    </sheetView>
  </sheetViews>
  <sheetFormatPr baseColWidth="10" defaultColWidth="20.5703125" defaultRowHeight="46.5" customHeight="1" x14ac:dyDescent="0.25"/>
  <cols>
    <col min="1" max="1" width="36" style="691" customWidth="1"/>
    <col min="2" max="2" width="26.7109375" style="691" customWidth="1"/>
    <col min="3" max="14" width="20.5703125" style="691" customWidth="1"/>
    <col min="15" max="16" width="20.5703125" style="716" customWidth="1"/>
    <col min="17" max="17" width="20.5703125" style="691" customWidth="1"/>
    <col min="18" max="20" width="20.5703125" style="716" customWidth="1"/>
    <col min="21" max="62" width="20.5703125" style="691" customWidth="1"/>
    <col min="63" max="63" width="36.42578125" style="691" customWidth="1"/>
    <col min="64" max="64" width="0" style="691" hidden="1" customWidth="1"/>
    <col min="65" max="16384" width="20.5703125" style="691"/>
  </cols>
  <sheetData>
    <row r="1" spans="1:64" s="681" customFormat="1" ht="28.5" customHeight="1" x14ac:dyDescent="0.25">
      <c r="A1" s="928" t="s">
        <v>2023</v>
      </c>
      <c r="B1" s="680" t="s">
        <v>2146</v>
      </c>
      <c r="C1" s="930" t="s">
        <v>2147</v>
      </c>
      <c r="D1" s="930"/>
      <c r="E1" s="930"/>
      <c r="F1" s="930"/>
      <c r="G1" s="930" t="s">
        <v>2148</v>
      </c>
      <c r="H1" s="930"/>
      <c r="I1" s="930"/>
      <c r="J1" s="930"/>
      <c r="K1" s="930" t="s">
        <v>2149</v>
      </c>
      <c r="L1" s="930"/>
      <c r="M1" s="930"/>
      <c r="N1" s="930"/>
      <c r="O1" s="930" t="s">
        <v>2150</v>
      </c>
      <c r="P1" s="930"/>
      <c r="Q1" s="930"/>
      <c r="R1" s="930"/>
      <c r="S1" s="930" t="s">
        <v>2151</v>
      </c>
      <c r="T1" s="930"/>
      <c r="U1" s="930"/>
      <c r="V1" s="930"/>
      <c r="W1" s="930" t="s">
        <v>2152</v>
      </c>
      <c r="X1" s="930"/>
      <c r="Y1" s="930"/>
      <c r="Z1" s="930"/>
      <c r="AA1" s="930" t="s">
        <v>2153</v>
      </c>
      <c r="AB1" s="930"/>
      <c r="AC1" s="930"/>
      <c r="AD1" s="930"/>
      <c r="AE1" s="930" t="s">
        <v>2154</v>
      </c>
      <c r="AF1" s="930"/>
      <c r="AG1" s="930"/>
      <c r="AH1" s="930"/>
      <c r="AI1" s="930" t="s">
        <v>2155</v>
      </c>
      <c r="AJ1" s="930"/>
      <c r="AK1" s="930"/>
      <c r="AL1" s="930"/>
      <c r="AM1" s="930" t="s">
        <v>2156</v>
      </c>
      <c r="AN1" s="930"/>
      <c r="AO1" s="930"/>
      <c r="AP1" s="930"/>
      <c r="AQ1" s="930" t="s">
        <v>2157</v>
      </c>
      <c r="AR1" s="930"/>
      <c r="AS1" s="930"/>
      <c r="AT1" s="930"/>
      <c r="AU1" s="930" t="s">
        <v>2158</v>
      </c>
      <c r="AV1" s="930"/>
      <c r="AW1" s="930"/>
      <c r="AX1" s="930"/>
      <c r="AY1" s="930" t="s">
        <v>2159</v>
      </c>
      <c r="AZ1" s="930"/>
      <c r="BA1" s="930"/>
      <c r="BB1" s="930"/>
      <c r="BC1" s="930" t="s">
        <v>2160</v>
      </c>
      <c r="BD1" s="930"/>
      <c r="BE1" s="930"/>
      <c r="BF1" s="930"/>
      <c r="BG1" s="930" t="s">
        <v>2161</v>
      </c>
      <c r="BH1" s="930"/>
      <c r="BI1" s="930"/>
      <c r="BJ1" s="930"/>
      <c r="BK1" s="931" t="s">
        <v>2162</v>
      </c>
    </row>
    <row r="2" spans="1:64" s="681" customFormat="1" ht="24" customHeight="1" x14ac:dyDescent="0.25">
      <c r="A2" s="929"/>
      <c r="B2" s="682">
        <v>2024</v>
      </c>
      <c r="C2" s="683" t="s">
        <v>2163</v>
      </c>
      <c r="D2" s="683" t="s">
        <v>2143</v>
      </c>
      <c r="E2" s="683" t="s">
        <v>2144</v>
      </c>
      <c r="F2" s="683" t="s">
        <v>2164</v>
      </c>
      <c r="G2" s="683" t="s">
        <v>2163</v>
      </c>
      <c r="H2" s="683" t="s">
        <v>2143</v>
      </c>
      <c r="I2" s="683" t="s">
        <v>2144</v>
      </c>
      <c r="J2" s="683" t="s">
        <v>2164</v>
      </c>
      <c r="K2" s="683" t="s">
        <v>2163</v>
      </c>
      <c r="L2" s="683" t="s">
        <v>2143</v>
      </c>
      <c r="M2" s="683" t="s">
        <v>2144</v>
      </c>
      <c r="N2" s="683" t="s">
        <v>2164</v>
      </c>
      <c r="O2" s="683" t="s">
        <v>2163</v>
      </c>
      <c r="P2" s="683" t="s">
        <v>2143</v>
      </c>
      <c r="Q2" s="683" t="s">
        <v>2144</v>
      </c>
      <c r="R2" s="683" t="s">
        <v>2164</v>
      </c>
      <c r="S2" s="683" t="s">
        <v>2163</v>
      </c>
      <c r="T2" s="683" t="s">
        <v>2143</v>
      </c>
      <c r="U2" s="683" t="s">
        <v>2144</v>
      </c>
      <c r="V2" s="683" t="s">
        <v>2164</v>
      </c>
      <c r="W2" s="683" t="s">
        <v>2163</v>
      </c>
      <c r="X2" s="683" t="s">
        <v>2143</v>
      </c>
      <c r="Y2" s="683" t="s">
        <v>2144</v>
      </c>
      <c r="Z2" s="683" t="s">
        <v>2164</v>
      </c>
      <c r="AA2" s="683" t="s">
        <v>2163</v>
      </c>
      <c r="AB2" s="683" t="s">
        <v>2143</v>
      </c>
      <c r="AC2" s="683" t="s">
        <v>2144</v>
      </c>
      <c r="AD2" s="683" t="s">
        <v>2164</v>
      </c>
      <c r="AE2" s="683" t="s">
        <v>2163</v>
      </c>
      <c r="AF2" s="683" t="s">
        <v>2143</v>
      </c>
      <c r="AG2" s="683" t="s">
        <v>2144</v>
      </c>
      <c r="AH2" s="683" t="s">
        <v>2164</v>
      </c>
      <c r="AI2" s="683" t="s">
        <v>2163</v>
      </c>
      <c r="AJ2" s="683" t="s">
        <v>2143</v>
      </c>
      <c r="AK2" s="683" t="s">
        <v>2144</v>
      </c>
      <c r="AL2" s="683" t="s">
        <v>2164</v>
      </c>
      <c r="AM2" s="683" t="s">
        <v>2163</v>
      </c>
      <c r="AN2" s="683" t="s">
        <v>2143</v>
      </c>
      <c r="AO2" s="683" t="s">
        <v>2144</v>
      </c>
      <c r="AP2" s="683" t="s">
        <v>2164</v>
      </c>
      <c r="AQ2" s="683" t="s">
        <v>2163</v>
      </c>
      <c r="AR2" s="683" t="s">
        <v>2143</v>
      </c>
      <c r="AS2" s="683" t="s">
        <v>2144</v>
      </c>
      <c r="AT2" s="683" t="s">
        <v>2164</v>
      </c>
      <c r="AU2" s="683" t="s">
        <v>2163</v>
      </c>
      <c r="AV2" s="683" t="s">
        <v>2143</v>
      </c>
      <c r="AW2" s="683" t="s">
        <v>2144</v>
      </c>
      <c r="AX2" s="683" t="s">
        <v>2164</v>
      </c>
      <c r="AY2" s="683" t="s">
        <v>2163</v>
      </c>
      <c r="AZ2" s="683" t="s">
        <v>2143</v>
      </c>
      <c r="BA2" s="683" t="s">
        <v>2144</v>
      </c>
      <c r="BB2" s="683" t="s">
        <v>2164</v>
      </c>
      <c r="BC2" s="683" t="s">
        <v>2163</v>
      </c>
      <c r="BD2" s="683" t="s">
        <v>2143</v>
      </c>
      <c r="BE2" s="683" t="s">
        <v>2144</v>
      </c>
      <c r="BF2" s="683" t="s">
        <v>2164</v>
      </c>
      <c r="BG2" s="683" t="s">
        <v>2163</v>
      </c>
      <c r="BH2" s="683" t="s">
        <v>2143</v>
      </c>
      <c r="BI2" s="683" t="s">
        <v>2144</v>
      </c>
      <c r="BJ2" s="683" t="s">
        <v>2145</v>
      </c>
      <c r="BK2" s="932"/>
    </row>
    <row r="3" spans="1:64" s="687" customFormat="1" ht="45.75" customHeight="1" x14ac:dyDescent="0.25">
      <c r="A3" s="684" t="s">
        <v>1928</v>
      </c>
      <c r="B3" s="685">
        <f t="shared" ref="B3:BF3" si="0">+B4+B13</f>
        <v>3736167890</v>
      </c>
      <c r="C3" s="685">
        <f t="shared" si="0"/>
        <v>1102652543</v>
      </c>
      <c r="D3" s="685">
        <f t="shared" si="0"/>
        <v>972144480.23000002</v>
      </c>
      <c r="E3" s="685">
        <f t="shared" si="0"/>
        <v>948700060.23000002</v>
      </c>
      <c r="F3" s="685">
        <f t="shared" si="0"/>
        <v>938644480.23000002</v>
      </c>
      <c r="G3" s="685">
        <f t="shared" si="0"/>
        <v>49566840</v>
      </c>
      <c r="H3" s="685">
        <f t="shared" si="0"/>
        <v>49302450</v>
      </c>
      <c r="I3" s="685">
        <f t="shared" si="0"/>
        <v>49302450</v>
      </c>
      <c r="J3" s="685">
        <f t="shared" si="0"/>
        <v>49302450</v>
      </c>
      <c r="K3" s="685">
        <f t="shared" si="0"/>
        <v>0</v>
      </c>
      <c r="L3" s="685">
        <f t="shared" si="0"/>
        <v>0</v>
      </c>
      <c r="M3" s="685">
        <f t="shared" si="0"/>
        <v>0</v>
      </c>
      <c r="N3" s="685">
        <f t="shared" si="0"/>
        <v>0</v>
      </c>
      <c r="O3" s="685">
        <f t="shared" si="0"/>
        <v>0</v>
      </c>
      <c r="P3" s="685">
        <f t="shared" si="0"/>
        <v>0</v>
      </c>
      <c r="Q3" s="685">
        <f t="shared" si="0"/>
        <v>0</v>
      </c>
      <c r="R3" s="685">
        <f t="shared" si="0"/>
        <v>0</v>
      </c>
      <c r="S3" s="685">
        <f t="shared" si="0"/>
        <v>0</v>
      </c>
      <c r="T3" s="685">
        <f t="shared" si="0"/>
        <v>0</v>
      </c>
      <c r="U3" s="685">
        <f t="shared" si="0"/>
        <v>0</v>
      </c>
      <c r="V3" s="685">
        <f t="shared" si="0"/>
        <v>0</v>
      </c>
      <c r="W3" s="685">
        <f t="shared" si="0"/>
        <v>2583948507</v>
      </c>
      <c r="X3" s="685">
        <f t="shared" si="0"/>
        <v>2583601769.9200001</v>
      </c>
      <c r="Y3" s="685">
        <f t="shared" si="0"/>
        <v>2583601769.9200001</v>
      </c>
      <c r="Z3" s="685">
        <f t="shared" si="0"/>
        <v>2583601769.9200001</v>
      </c>
      <c r="AA3" s="685">
        <f t="shared" si="0"/>
        <v>0</v>
      </c>
      <c r="AB3" s="685">
        <f t="shared" si="0"/>
        <v>0</v>
      </c>
      <c r="AC3" s="685">
        <f t="shared" si="0"/>
        <v>0</v>
      </c>
      <c r="AD3" s="685">
        <f t="shared" si="0"/>
        <v>0</v>
      </c>
      <c r="AE3" s="685">
        <f t="shared" si="0"/>
        <v>0</v>
      </c>
      <c r="AF3" s="685">
        <f t="shared" si="0"/>
        <v>0</v>
      </c>
      <c r="AG3" s="685">
        <f t="shared" si="0"/>
        <v>0</v>
      </c>
      <c r="AH3" s="685">
        <f t="shared" si="0"/>
        <v>0</v>
      </c>
      <c r="AI3" s="685">
        <f t="shared" si="0"/>
        <v>0</v>
      </c>
      <c r="AJ3" s="685">
        <f t="shared" si="0"/>
        <v>0</v>
      </c>
      <c r="AK3" s="685">
        <f t="shared" si="0"/>
        <v>0</v>
      </c>
      <c r="AL3" s="685">
        <f t="shared" si="0"/>
        <v>0</v>
      </c>
      <c r="AM3" s="685">
        <f t="shared" si="0"/>
        <v>0</v>
      </c>
      <c r="AN3" s="685">
        <f t="shared" si="0"/>
        <v>0</v>
      </c>
      <c r="AO3" s="685">
        <f t="shared" si="0"/>
        <v>0</v>
      </c>
      <c r="AP3" s="685">
        <f t="shared" si="0"/>
        <v>0</v>
      </c>
      <c r="AQ3" s="685">
        <f t="shared" si="0"/>
        <v>0</v>
      </c>
      <c r="AR3" s="685">
        <f t="shared" si="0"/>
        <v>0</v>
      </c>
      <c r="AS3" s="685">
        <f t="shared" si="0"/>
        <v>0</v>
      </c>
      <c r="AT3" s="685">
        <f t="shared" si="0"/>
        <v>0</v>
      </c>
      <c r="AU3" s="685">
        <f t="shared" si="0"/>
        <v>0</v>
      </c>
      <c r="AV3" s="685">
        <f t="shared" si="0"/>
        <v>0</v>
      </c>
      <c r="AW3" s="685">
        <f t="shared" si="0"/>
        <v>0</v>
      </c>
      <c r="AX3" s="685">
        <f t="shared" si="0"/>
        <v>0</v>
      </c>
      <c r="AY3" s="685">
        <f t="shared" si="0"/>
        <v>0</v>
      </c>
      <c r="AZ3" s="685">
        <f t="shared" si="0"/>
        <v>0</v>
      </c>
      <c r="BA3" s="685">
        <f t="shared" si="0"/>
        <v>0</v>
      </c>
      <c r="BB3" s="685">
        <f t="shared" si="0"/>
        <v>0</v>
      </c>
      <c r="BC3" s="685">
        <f t="shared" si="0"/>
        <v>0</v>
      </c>
      <c r="BD3" s="685">
        <f t="shared" si="0"/>
        <v>0</v>
      </c>
      <c r="BE3" s="685">
        <f t="shared" si="0"/>
        <v>0</v>
      </c>
      <c r="BF3" s="685">
        <f t="shared" si="0"/>
        <v>0</v>
      </c>
      <c r="BG3" s="685">
        <f>+C3+G3+K3+O3+S3+W3+AA3+AE3+AI3+AM3+AQ3+AU3+AY3+BC3</f>
        <v>3736167890</v>
      </c>
      <c r="BH3" s="685">
        <f t="shared" ref="BH3:BJ4" si="1">+D3+H3+L3+P3+T3+X3+AB3+AF3+AJ3+AN3+AR3+AV3+AZ3+BD3</f>
        <v>3605048700.1500001</v>
      </c>
      <c r="BI3" s="685">
        <f t="shared" si="1"/>
        <v>3581604280.1500001</v>
      </c>
      <c r="BJ3" s="685">
        <f t="shared" si="1"/>
        <v>3571548700.1500001</v>
      </c>
      <c r="BK3" s="686"/>
    </row>
    <row r="4" spans="1:64" ht="45.75" customHeight="1" x14ac:dyDescent="0.25">
      <c r="A4" s="688" t="s">
        <v>2165</v>
      </c>
      <c r="B4" s="689">
        <f>+B5+B9</f>
        <v>978592603</v>
      </c>
      <c r="C4" s="689">
        <f t="shared" ref="C4:BF4" si="2">+C5+C9</f>
        <v>929025763</v>
      </c>
      <c r="D4" s="689">
        <f t="shared" si="2"/>
        <v>807792966.23000002</v>
      </c>
      <c r="E4" s="689">
        <f t="shared" si="2"/>
        <v>784348546.23000002</v>
      </c>
      <c r="F4" s="689">
        <f t="shared" si="2"/>
        <v>774292966.23000002</v>
      </c>
      <c r="G4" s="689">
        <f t="shared" si="2"/>
        <v>49566840</v>
      </c>
      <c r="H4" s="689">
        <f t="shared" si="2"/>
        <v>49302450</v>
      </c>
      <c r="I4" s="689">
        <f t="shared" si="2"/>
        <v>49302450</v>
      </c>
      <c r="J4" s="689">
        <f t="shared" si="2"/>
        <v>49302450</v>
      </c>
      <c r="K4" s="689">
        <f t="shared" si="2"/>
        <v>0</v>
      </c>
      <c r="L4" s="689">
        <f t="shared" si="2"/>
        <v>0</v>
      </c>
      <c r="M4" s="689">
        <f t="shared" si="2"/>
        <v>0</v>
      </c>
      <c r="N4" s="689">
        <f t="shared" si="2"/>
        <v>0</v>
      </c>
      <c r="O4" s="689">
        <f t="shared" si="2"/>
        <v>0</v>
      </c>
      <c r="P4" s="689">
        <f t="shared" si="2"/>
        <v>0</v>
      </c>
      <c r="Q4" s="689">
        <f t="shared" si="2"/>
        <v>0</v>
      </c>
      <c r="R4" s="689">
        <f t="shared" si="2"/>
        <v>0</v>
      </c>
      <c r="S4" s="689">
        <f t="shared" si="2"/>
        <v>0</v>
      </c>
      <c r="T4" s="689">
        <f t="shared" si="2"/>
        <v>0</v>
      </c>
      <c r="U4" s="689">
        <f t="shared" si="2"/>
        <v>0</v>
      </c>
      <c r="V4" s="689">
        <f t="shared" si="2"/>
        <v>0</v>
      </c>
      <c r="W4" s="689">
        <f t="shared" si="2"/>
        <v>0</v>
      </c>
      <c r="X4" s="689">
        <f t="shared" si="2"/>
        <v>0</v>
      </c>
      <c r="Y4" s="689">
        <f t="shared" si="2"/>
        <v>0</v>
      </c>
      <c r="Z4" s="689">
        <f t="shared" si="2"/>
        <v>0</v>
      </c>
      <c r="AA4" s="689">
        <f t="shared" si="2"/>
        <v>0</v>
      </c>
      <c r="AB4" s="689">
        <f t="shared" si="2"/>
        <v>0</v>
      </c>
      <c r="AC4" s="689">
        <f t="shared" si="2"/>
        <v>0</v>
      </c>
      <c r="AD4" s="689">
        <f t="shared" si="2"/>
        <v>0</v>
      </c>
      <c r="AE4" s="689">
        <f t="shared" si="2"/>
        <v>0</v>
      </c>
      <c r="AF4" s="689">
        <f t="shared" si="2"/>
        <v>0</v>
      </c>
      <c r="AG4" s="689">
        <f t="shared" si="2"/>
        <v>0</v>
      </c>
      <c r="AH4" s="689">
        <f t="shared" si="2"/>
        <v>0</v>
      </c>
      <c r="AI4" s="689">
        <f t="shared" si="2"/>
        <v>0</v>
      </c>
      <c r="AJ4" s="689">
        <f t="shared" si="2"/>
        <v>0</v>
      </c>
      <c r="AK4" s="689">
        <f t="shared" si="2"/>
        <v>0</v>
      </c>
      <c r="AL4" s="689">
        <f t="shared" si="2"/>
        <v>0</v>
      </c>
      <c r="AM4" s="689">
        <f t="shared" si="2"/>
        <v>0</v>
      </c>
      <c r="AN4" s="689">
        <f t="shared" si="2"/>
        <v>0</v>
      </c>
      <c r="AO4" s="689">
        <f t="shared" si="2"/>
        <v>0</v>
      </c>
      <c r="AP4" s="689">
        <f t="shared" si="2"/>
        <v>0</v>
      </c>
      <c r="AQ4" s="689">
        <f t="shared" si="2"/>
        <v>0</v>
      </c>
      <c r="AR4" s="689">
        <f t="shared" si="2"/>
        <v>0</v>
      </c>
      <c r="AS4" s="689">
        <f t="shared" si="2"/>
        <v>0</v>
      </c>
      <c r="AT4" s="689">
        <f t="shared" si="2"/>
        <v>0</v>
      </c>
      <c r="AU4" s="689">
        <f t="shared" si="2"/>
        <v>0</v>
      </c>
      <c r="AV4" s="689">
        <f t="shared" si="2"/>
        <v>0</v>
      </c>
      <c r="AW4" s="689">
        <f t="shared" si="2"/>
        <v>0</v>
      </c>
      <c r="AX4" s="689">
        <f t="shared" si="2"/>
        <v>0</v>
      </c>
      <c r="AY4" s="689">
        <f t="shared" si="2"/>
        <v>0</v>
      </c>
      <c r="AZ4" s="689">
        <f t="shared" si="2"/>
        <v>0</v>
      </c>
      <c r="BA4" s="689">
        <f t="shared" si="2"/>
        <v>0</v>
      </c>
      <c r="BB4" s="689">
        <f t="shared" si="2"/>
        <v>0</v>
      </c>
      <c r="BC4" s="689">
        <f t="shared" si="2"/>
        <v>0</v>
      </c>
      <c r="BD4" s="689">
        <f t="shared" si="2"/>
        <v>0</v>
      </c>
      <c r="BE4" s="689">
        <f t="shared" si="2"/>
        <v>0</v>
      </c>
      <c r="BF4" s="689">
        <f t="shared" si="2"/>
        <v>0</v>
      </c>
      <c r="BG4" s="689">
        <f>+C4+G4+K4+O4+S4+W4+AA4+AE4+AI4+AM4+AQ4+AU4+AY4+BC4</f>
        <v>978592603</v>
      </c>
      <c r="BH4" s="689">
        <f t="shared" si="1"/>
        <v>857095416.23000002</v>
      </c>
      <c r="BI4" s="689">
        <f t="shared" si="1"/>
        <v>833650996.23000002</v>
      </c>
      <c r="BJ4" s="689">
        <f t="shared" si="1"/>
        <v>823595416.23000002</v>
      </c>
      <c r="BK4" s="690"/>
    </row>
    <row r="5" spans="1:64" ht="45.75" customHeight="1" x14ac:dyDescent="0.25">
      <c r="A5" s="692" t="s">
        <v>2166</v>
      </c>
      <c r="B5" s="693">
        <f>+SUM(B6:B8)</f>
        <v>524614120</v>
      </c>
      <c r="C5" s="693">
        <f t="shared" ref="C5:J5" si="3">+SUM(C6:C8)</f>
        <v>475047280</v>
      </c>
      <c r="D5" s="693">
        <f t="shared" si="3"/>
        <v>433528476.91000003</v>
      </c>
      <c r="E5" s="693">
        <f t="shared" si="3"/>
        <v>428584056.91000003</v>
      </c>
      <c r="F5" s="693">
        <f t="shared" si="3"/>
        <v>418528476.91000003</v>
      </c>
      <c r="G5" s="693">
        <f t="shared" si="3"/>
        <v>49566840</v>
      </c>
      <c r="H5" s="693">
        <f t="shared" si="3"/>
        <v>49302450</v>
      </c>
      <c r="I5" s="693">
        <f t="shared" si="3"/>
        <v>49302450</v>
      </c>
      <c r="J5" s="693">
        <f t="shared" si="3"/>
        <v>49302450</v>
      </c>
      <c r="K5" s="693">
        <f t="shared" ref="K5:BF5" si="4">SUM(K6:K8)</f>
        <v>0</v>
      </c>
      <c r="L5" s="693">
        <f t="shared" si="4"/>
        <v>0</v>
      </c>
      <c r="M5" s="693">
        <f t="shared" si="4"/>
        <v>0</v>
      </c>
      <c r="N5" s="693">
        <f t="shared" si="4"/>
        <v>0</v>
      </c>
      <c r="O5" s="693">
        <f t="shared" si="4"/>
        <v>0</v>
      </c>
      <c r="P5" s="693">
        <f t="shared" si="4"/>
        <v>0</v>
      </c>
      <c r="Q5" s="693">
        <f t="shared" si="4"/>
        <v>0</v>
      </c>
      <c r="R5" s="693">
        <f t="shared" si="4"/>
        <v>0</v>
      </c>
      <c r="S5" s="693">
        <f t="shared" si="4"/>
        <v>0</v>
      </c>
      <c r="T5" s="693">
        <f t="shared" si="4"/>
        <v>0</v>
      </c>
      <c r="U5" s="693">
        <f t="shared" si="4"/>
        <v>0</v>
      </c>
      <c r="V5" s="693">
        <f t="shared" si="4"/>
        <v>0</v>
      </c>
      <c r="W5" s="693">
        <f t="shared" si="4"/>
        <v>0</v>
      </c>
      <c r="X5" s="693">
        <f t="shared" si="4"/>
        <v>0</v>
      </c>
      <c r="Y5" s="693">
        <f t="shared" si="4"/>
        <v>0</v>
      </c>
      <c r="Z5" s="693">
        <f t="shared" si="4"/>
        <v>0</v>
      </c>
      <c r="AA5" s="693">
        <f t="shared" si="4"/>
        <v>0</v>
      </c>
      <c r="AB5" s="693">
        <f t="shared" si="4"/>
        <v>0</v>
      </c>
      <c r="AC5" s="693">
        <f t="shared" si="4"/>
        <v>0</v>
      </c>
      <c r="AD5" s="693">
        <f t="shared" si="4"/>
        <v>0</v>
      </c>
      <c r="AE5" s="693">
        <f t="shared" si="4"/>
        <v>0</v>
      </c>
      <c r="AF5" s="693">
        <f t="shared" si="4"/>
        <v>0</v>
      </c>
      <c r="AG5" s="693">
        <f t="shared" si="4"/>
        <v>0</v>
      </c>
      <c r="AH5" s="693">
        <f t="shared" si="4"/>
        <v>0</v>
      </c>
      <c r="AI5" s="693">
        <f t="shared" si="4"/>
        <v>0</v>
      </c>
      <c r="AJ5" s="693">
        <f t="shared" si="4"/>
        <v>0</v>
      </c>
      <c r="AK5" s="693">
        <f t="shared" si="4"/>
        <v>0</v>
      </c>
      <c r="AL5" s="693">
        <f t="shared" si="4"/>
        <v>0</v>
      </c>
      <c r="AM5" s="693">
        <f t="shared" si="4"/>
        <v>0</v>
      </c>
      <c r="AN5" s="693">
        <f t="shared" si="4"/>
        <v>0</v>
      </c>
      <c r="AO5" s="693">
        <f t="shared" si="4"/>
        <v>0</v>
      </c>
      <c r="AP5" s="693">
        <f t="shared" si="4"/>
        <v>0</v>
      </c>
      <c r="AQ5" s="693">
        <f t="shared" si="4"/>
        <v>0</v>
      </c>
      <c r="AR5" s="693">
        <f t="shared" si="4"/>
        <v>0</v>
      </c>
      <c r="AS5" s="693">
        <f t="shared" si="4"/>
        <v>0</v>
      </c>
      <c r="AT5" s="693">
        <f t="shared" si="4"/>
        <v>0</v>
      </c>
      <c r="AU5" s="693">
        <f t="shared" si="4"/>
        <v>0</v>
      </c>
      <c r="AV5" s="693">
        <f t="shared" si="4"/>
        <v>0</v>
      </c>
      <c r="AW5" s="693">
        <f t="shared" si="4"/>
        <v>0</v>
      </c>
      <c r="AX5" s="693">
        <f t="shared" si="4"/>
        <v>0</v>
      </c>
      <c r="AY5" s="693">
        <f t="shared" si="4"/>
        <v>0</v>
      </c>
      <c r="AZ5" s="693">
        <f t="shared" si="4"/>
        <v>0</v>
      </c>
      <c r="BA5" s="693">
        <f t="shared" si="4"/>
        <v>0</v>
      </c>
      <c r="BB5" s="693">
        <f t="shared" si="4"/>
        <v>0</v>
      </c>
      <c r="BC5" s="693">
        <f t="shared" si="4"/>
        <v>0</v>
      </c>
      <c r="BD5" s="693">
        <f t="shared" si="4"/>
        <v>0</v>
      </c>
      <c r="BE5" s="693">
        <f t="shared" si="4"/>
        <v>0</v>
      </c>
      <c r="BF5" s="693">
        <f t="shared" si="4"/>
        <v>0</v>
      </c>
      <c r="BG5" s="693">
        <f>ROUND(+C5+G5+K5+O5+S5+W5+AA5+AE5+AI5+AM5+AQ5+AU5+AY5+BC5,0)</f>
        <v>524614120</v>
      </c>
      <c r="BH5" s="693">
        <f>ROUND(+D5+H5+L5+P5+T5+X5+AB5+AF5+AJ5+AN5+AR5+AV5+AZ5+BD5,0)</f>
        <v>482830927</v>
      </c>
      <c r="BI5" s="693">
        <f>ROUND(+E5+I5+M5+Q5+U5+Y5+AC5+AG5+AK5+AO5+AS5+AW5+BA5+BE5,0)</f>
        <v>477886507</v>
      </c>
      <c r="BJ5" s="693">
        <f>ROUND(+F5+J5+N5+R5+V5+Z5+AD5+AH5+AL5+AP5+AT5+AX5+BB5+BF5,0)</f>
        <v>467830927</v>
      </c>
      <c r="BK5" s="694">
        <f>+SUM(BG6:BG8)-BG5</f>
        <v>0</v>
      </c>
      <c r="BL5" s="695">
        <f>+BG5-B5</f>
        <v>0</v>
      </c>
    </row>
    <row r="6" spans="1:64" ht="45.75" customHeight="1" x14ac:dyDescent="0.25">
      <c r="A6" s="696" t="s">
        <v>2167</v>
      </c>
      <c r="B6" s="933">
        <f>262307060*2</f>
        <v>524614120</v>
      </c>
      <c r="C6" s="697">
        <v>0</v>
      </c>
      <c r="D6" s="697">
        <v>0</v>
      </c>
      <c r="E6" s="697">
        <v>0</v>
      </c>
      <c r="F6" s="697">
        <v>0</v>
      </c>
      <c r="G6" s="697">
        <v>0</v>
      </c>
      <c r="H6" s="697">
        <v>0</v>
      </c>
      <c r="I6" s="697">
        <v>0</v>
      </c>
      <c r="J6" s="697">
        <v>0</v>
      </c>
      <c r="K6" s="697">
        <v>0</v>
      </c>
      <c r="L6" s="697">
        <v>0</v>
      </c>
      <c r="M6" s="697">
        <v>0</v>
      </c>
      <c r="N6" s="697">
        <v>0</v>
      </c>
      <c r="O6" s="697">
        <v>0</v>
      </c>
      <c r="P6" s="697">
        <v>0</v>
      </c>
      <c r="Q6" s="697">
        <v>0</v>
      </c>
      <c r="R6" s="697">
        <v>0</v>
      </c>
      <c r="S6" s="697">
        <v>0</v>
      </c>
      <c r="T6" s="697">
        <v>0</v>
      </c>
      <c r="U6" s="697">
        <v>0</v>
      </c>
      <c r="V6" s="697">
        <v>0</v>
      </c>
      <c r="W6" s="697">
        <v>0</v>
      </c>
      <c r="X6" s="697">
        <v>0</v>
      </c>
      <c r="Y6" s="697">
        <v>0</v>
      </c>
      <c r="Z6" s="697">
        <v>0</v>
      </c>
      <c r="AA6" s="697">
        <v>0</v>
      </c>
      <c r="AB6" s="697">
        <v>0</v>
      </c>
      <c r="AC6" s="697">
        <v>0</v>
      </c>
      <c r="AD6" s="697">
        <v>0</v>
      </c>
      <c r="AE6" s="697">
        <v>0</v>
      </c>
      <c r="AF6" s="697">
        <v>0</v>
      </c>
      <c r="AG6" s="697">
        <v>0</v>
      </c>
      <c r="AH6" s="697">
        <v>0</v>
      </c>
      <c r="AI6" s="697">
        <v>0</v>
      </c>
      <c r="AJ6" s="697">
        <v>0</v>
      </c>
      <c r="AK6" s="697">
        <v>0</v>
      </c>
      <c r="AL6" s="697">
        <v>0</v>
      </c>
      <c r="AM6" s="697">
        <v>0</v>
      </c>
      <c r="AN6" s="697">
        <v>0</v>
      </c>
      <c r="AO6" s="697">
        <v>0</v>
      </c>
      <c r="AP6" s="697">
        <v>0</v>
      </c>
      <c r="AQ6" s="697">
        <v>0</v>
      </c>
      <c r="AR6" s="697">
        <v>0</v>
      </c>
      <c r="AS6" s="697">
        <v>0</v>
      </c>
      <c r="AT6" s="697">
        <v>0</v>
      </c>
      <c r="AU6" s="697">
        <v>0</v>
      </c>
      <c r="AV6" s="697">
        <v>0</v>
      </c>
      <c r="AW6" s="697">
        <v>0</v>
      </c>
      <c r="AX6" s="697">
        <v>0</v>
      </c>
      <c r="AY6" s="697">
        <v>0</v>
      </c>
      <c r="AZ6" s="697">
        <v>0</v>
      </c>
      <c r="BA6" s="697">
        <v>0</v>
      </c>
      <c r="BB6" s="697">
        <v>0</v>
      </c>
      <c r="BC6" s="697">
        <v>0</v>
      </c>
      <c r="BD6" s="697">
        <v>0</v>
      </c>
      <c r="BE6" s="697">
        <v>0</v>
      </c>
      <c r="BF6" s="697">
        <v>0</v>
      </c>
      <c r="BG6" s="697">
        <f t="shared" ref="BG6:BJ69" si="5">+C6+G6+K6+O6+S6+W6+AA6+AE6+AI6+AM6+AQ6+AU6+AY6+BC6</f>
        <v>0</v>
      </c>
      <c r="BH6" s="697">
        <f t="shared" si="5"/>
        <v>0</v>
      </c>
      <c r="BI6" s="697">
        <f t="shared" si="5"/>
        <v>0</v>
      </c>
      <c r="BJ6" s="697">
        <f t="shared" si="5"/>
        <v>0</v>
      </c>
      <c r="BK6" s="690"/>
    </row>
    <row r="7" spans="1:64" ht="45.75" customHeight="1" x14ac:dyDescent="0.25">
      <c r="A7" s="698" t="s">
        <v>2168</v>
      </c>
      <c r="B7" s="934"/>
      <c r="C7" s="699">
        <v>237523640</v>
      </c>
      <c r="D7" s="699">
        <f>433528476.91/2</f>
        <v>216764238.45500001</v>
      </c>
      <c r="E7" s="699">
        <f>428584056.91/2</f>
        <v>214292028.45500001</v>
      </c>
      <c r="F7" s="699">
        <f>418528476.91/2</f>
        <v>209264238.45500001</v>
      </c>
      <c r="G7" s="699">
        <v>24783420</v>
      </c>
      <c r="H7" s="699">
        <v>24651225</v>
      </c>
      <c r="I7" s="699">
        <v>24651225</v>
      </c>
      <c r="J7" s="699">
        <v>24651225</v>
      </c>
      <c r="K7" s="700">
        <v>0</v>
      </c>
      <c r="L7" s="700">
        <v>0</v>
      </c>
      <c r="M7" s="700">
        <v>0</v>
      </c>
      <c r="N7" s="700">
        <v>0</v>
      </c>
      <c r="O7" s="700">
        <v>0</v>
      </c>
      <c r="P7" s="700">
        <v>0</v>
      </c>
      <c r="Q7" s="700">
        <v>0</v>
      </c>
      <c r="R7" s="700">
        <v>0</v>
      </c>
      <c r="S7" s="700">
        <v>0</v>
      </c>
      <c r="T7" s="700">
        <v>0</v>
      </c>
      <c r="U7" s="700">
        <v>0</v>
      </c>
      <c r="V7" s="700">
        <v>0</v>
      </c>
      <c r="W7" s="700">
        <v>0</v>
      </c>
      <c r="X7" s="700">
        <v>0</v>
      </c>
      <c r="Y7" s="700">
        <v>0</v>
      </c>
      <c r="Z7" s="700">
        <v>0</v>
      </c>
      <c r="AA7" s="700">
        <v>0</v>
      </c>
      <c r="AB7" s="700">
        <v>0</v>
      </c>
      <c r="AC7" s="700">
        <v>0</v>
      </c>
      <c r="AD7" s="700">
        <v>0</v>
      </c>
      <c r="AE7" s="700">
        <v>0</v>
      </c>
      <c r="AF7" s="700">
        <v>0</v>
      </c>
      <c r="AG7" s="700">
        <v>0</v>
      </c>
      <c r="AH7" s="700">
        <v>0</v>
      </c>
      <c r="AI7" s="700">
        <v>0</v>
      </c>
      <c r="AJ7" s="700">
        <v>0</v>
      </c>
      <c r="AK7" s="700">
        <v>0</v>
      </c>
      <c r="AL7" s="700">
        <v>0</v>
      </c>
      <c r="AM7" s="700">
        <v>0</v>
      </c>
      <c r="AN7" s="700">
        <v>0</v>
      </c>
      <c r="AO7" s="700">
        <v>0</v>
      </c>
      <c r="AP7" s="700">
        <v>0</v>
      </c>
      <c r="AQ7" s="700">
        <v>0</v>
      </c>
      <c r="AR7" s="700">
        <v>0</v>
      </c>
      <c r="AS7" s="700">
        <v>0</v>
      </c>
      <c r="AT7" s="700">
        <v>0</v>
      </c>
      <c r="AU7" s="700">
        <v>0</v>
      </c>
      <c r="AV7" s="700">
        <v>0</v>
      </c>
      <c r="AW7" s="700">
        <v>0</v>
      </c>
      <c r="AX7" s="700">
        <v>0</v>
      </c>
      <c r="AY7" s="700">
        <v>0</v>
      </c>
      <c r="AZ7" s="700">
        <v>0</v>
      </c>
      <c r="BA7" s="700">
        <v>0</v>
      </c>
      <c r="BB7" s="700">
        <v>0</v>
      </c>
      <c r="BC7" s="700">
        <v>0</v>
      </c>
      <c r="BD7" s="700">
        <v>0</v>
      </c>
      <c r="BE7" s="700">
        <v>0</v>
      </c>
      <c r="BF7" s="700">
        <v>0</v>
      </c>
      <c r="BG7" s="699">
        <f t="shared" si="5"/>
        <v>262307060</v>
      </c>
      <c r="BH7" s="699">
        <f t="shared" si="5"/>
        <v>241415463.45500001</v>
      </c>
      <c r="BI7" s="699">
        <f t="shared" si="5"/>
        <v>238943253.45500001</v>
      </c>
      <c r="BJ7" s="699">
        <f t="shared" si="5"/>
        <v>233915463.45500001</v>
      </c>
      <c r="BK7" s="690"/>
    </row>
    <row r="8" spans="1:64" ht="45.75" customHeight="1" x14ac:dyDescent="0.25">
      <c r="A8" s="698" t="s">
        <v>2169</v>
      </c>
      <c r="B8" s="935"/>
      <c r="C8" s="699">
        <v>237523640</v>
      </c>
      <c r="D8" s="699">
        <f>433528476.91/2</f>
        <v>216764238.45500001</v>
      </c>
      <c r="E8" s="699">
        <f>428584056.91/2</f>
        <v>214292028.45500001</v>
      </c>
      <c r="F8" s="699">
        <f>418528476.91/2</f>
        <v>209264238.45500001</v>
      </c>
      <c r="G8" s="699">
        <v>24783420</v>
      </c>
      <c r="H8" s="699">
        <v>24651225</v>
      </c>
      <c r="I8" s="699">
        <v>24651225</v>
      </c>
      <c r="J8" s="699">
        <v>24651225</v>
      </c>
      <c r="K8" s="700">
        <v>0</v>
      </c>
      <c r="L8" s="700">
        <v>0</v>
      </c>
      <c r="M8" s="700">
        <v>0</v>
      </c>
      <c r="N8" s="700">
        <v>0</v>
      </c>
      <c r="O8" s="700">
        <v>0</v>
      </c>
      <c r="P8" s="700">
        <v>0</v>
      </c>
      <c r="Q8" s="700">
        <v>0</v>
      </c>
      <c r="R8" s="700">
        <v>0</v>
      </c>
      <c r="S8" s="700">
        <v>0</v>
      </c>
      <c r="T8" s="700">
        <v>0</v>
      </c>
      <c r="U8" s="700">
        <v>0</v>
      </c>
      <c r="V8" s="700">
        <v>0</v>
      </c>
      <c r="W8" s="700">
        <v>0</v>
      </c>
      <c r="X8" s="700">
        <v>0</v>
      </c>
      <c r="Y8" s="700">
        <v>0</v>
      </c>
      <c r="Z8" s="700">
        <v>0</v>
      </c>
      <c r="AA8" s="700">
        <v>0</v>
      </c>
      <c r="AB8" s="700">
        <v>0</v>
      </c>
      <c r="AC8" s="700">
        <v>0</v>
      </c>
      <c r="AD8" s="700">
        <v>0</v>
      </c>
      <c r="AE8" s="700">
        <v>0</v>
      </c>
      <c r="AF8" s="700">
        <v>0</v>
      </c>
      <c r="AG8" s="700">
        <v>0</v>
      </c>
      <c r="AH8" s="700">
        <v>0</v>
      </c>
      <c r="AI8" s="700">
        <v>0</v>
      </c>
      <c r="AJ8" s="700">
        <v>0</v>
      </c>
      <c r="AK8" s="700">
        <v>0</v>
      </c>
      <c r="AL8" s="700">
        <v>0</v>
      </c>
      <c r="AM8" s="700">
        <v>0</v>
      </c>
      <c r="AN8" s="700">
        <v>0</v>
      </c>
      <c r="AO8" s="700">
        <v>0</v>
      </c>
      <c r="AP8" s="700">
        <v>0</v>
      </c>
      <c r="AQ8" s="700">
        <v>0</v>
      </c>
      <c r="AR8" s="700">
        <v>0</v>
      </c>
      <c r="AS8" s="700">
        <v>0</v>
      </c>
      <c r="AT8" s="700">
        <v>0</v>
      </c>
      <c r="AU8" s="700">
        <v>0</v>
      </c>
      <c r="AV8" s="700">
        <v>0</v>
      </c>
      <c r="AW8" s="700">
        <v>0</v>
      </c>
      <c r="AX8" s="700">
        <v>0</v>
      </c>
      <c r="AY8" s="700">
        <v>0</v>
      </c>
      <c r="AZ8" s="700">
        <v>0</v>
      </c>
      <c r="BA8" s="700">
        <v>0</v>
      </c>
      <c r="BB8" s="700">
        <v>0</v>
      </c>
      <c r="BC8" s="700">
        <v>0</v>
      </c>
      <c r="BD8" s="700">
        <v>0</v>
      </c>
      <c r="BE8" s="700">
        <v>0</v>
      </c>
      <c r="BF8" s="700">
        <v>0</v>
      </c>
      <c r="BG8" s="699">
        <f t="shared" si="5"/>
        <v>262307060</v>
      </c>
      <c r="BH8" s="699">
        <f t="shared" si="5"/>
        <v>241415463.45500001</v>
      </c>
      <c r="BI8" s="699">
        <f t="shared" si="5"/>
        <v>238943253.45500001</v>
      </c>
      <c r="BJ8" s="699">
        <f t="shared" si="5"/>
        <v>233915463.45500001</v>
      </c>
      <c r="BK8" s="701">
        <f>+SUM(BG6:BG8)-B6</f>
        <v>0</v>
      </c>
    </row>
    <row r="9" spans="1:64" ht="45.75" customHeight="1" x14ac:dyDescent="0.25">
      <c r="A9" s="607" t="s">
        <v>2170</v>
      </c>
      <c r="B9" s="702">
        <f>SUM(B10:B12)</f>
        <v>453978483</v>
      </c>
      <c r="C9" s="702">
        <f t="shared" ref="C9:BF9" si="6">SUM(C10:C12)</f>
        <v>453978483</v>
      </c>
      <c r="D9" s="702">
        <f t="shared" si="6"/>
        <v>374264489.31999999</v>
      </c>
      <c r="E9" s="702">
        <f t="shared" si="6"/>
        <v>355764489.31999999</v>
      </c>
      <c r="F9" s="702">
        <f t="shared" si="6"/>
        <v>355764489.31999999</v>
      </c>
      <c r="G9" s="702">
        <f t="shared" si="6"/>
        <v>0</v>
      </c>
      <c r="H9" s="702">
        <f t="shared" si="6"/>
        <v>0</v>
      </c>
      <c r="I9" s="702">
        <f t="shared" si="6"/>
        <v>0</v>
      </c>
      <c r="J9" s="702">
        <f t="shared" si="6"/>
        <v>0</v>
      </c>
      <c r="K9" s="702">
        <f t="shared" si="6"/>
        <v>0</v>
      </c>
      <c r="L9" s="702">
        <f t="shared" si="6"/>
        <v>0</v>
      </c>
      <c r="M9" s="702">
        <f t="shared" si="6"/>
        <v>0</v>
      </c>
      <c r="N9" s="702">
        <f t="shared" si="6"/>
        <v>0</v>
      </c>
      <c r="O9" s="702">
        <f t="shared" si="6"/>
        <v>0</v>
      </c>
      <c r="P9" s="702">
        <f t="shared" si="6"/>
        <v>0</v>
      </c>
      <c r="Q9" s="702">
        <f t="shared" si="6"/>
        <v>0</v>
      </c>
      <c r="R9" s="702">
        <f t="shared" si="6"/>
        <v>0</v>
      </c>
      <c r="S9" s="702">
        <f t="shared" si="6"/>
        <v>0</v>
      </c>
      <c r="T9" s="702">
        <f t="shared" si="6"/>
        <v>0</v>
      </c>
      <c r="U9" s="702">
        <f t="shared" si="6"/>
        <v>0</v>
      </c>
      <c r="V9" s="702">
        <f t="shared" si="6"/>
        <v>0</v>
      </c>
      <c r="W9" s="702">
        <f t="shared" si="6"/>
        <v>0</v>
      </c>
      <c r="X9" s="702">
        <f t="shared" si="6"/>
        <v>0</v>
      </c>
      <c r="Y9" s="702">
        <f t="shared" si="6"/>
        <v>0</v>
      </c>
      <c r="Z9" s="702">
        <f t="shared" si="6"/>
        <v>0</v>
      </c>
      <c r="AA9" s="702">
        <f t="shared" si="6"/>
        <v>0</v>
      </c>
      <c r="AB9" s="702">
        <f t="shared" si="6"/>
        <v>0</v>
      </c>
      <c r="AC9" s="702">
        <f t="shared" si="6"/>
        <v>0</v>
      </c>
      <c r="AD9" s="702">
        <f t="shared" si="6"/>
        <v>0</v>
      </c>
      <c r="AE9" s="702">
        <f t="shared" si="6"/>
        <v>0</v>
      </c>
      <c r="AF9" s="702">
        <f t="shared" si="6"/>
        <v>0</v>
      </c>
      <c r="AG9" s="702">
        <f t="shared" si="6"/>
        <v>0</v>
      </c>
      <c r="AH9" s="702">
        <f t="shared" si="6"/>
        <v>0</v>
      </c>
      <c r="AI9" s="702">
        <f t="shared" si="6"/>
        <v>0</v>
      </c>
      <c r="AJ9" s="702">
        <f t="shared" si="6"/>
        <v>0</v>
      </c>
      <c r="AK9" s="702">
        <f t="shared" si="6"/>
        <v>0</v>
      </c>
      <c r="AL9" s="702">
        <f t="shared" si="6"/>
        <v>0</v>
      </c>
      <c r="AM9" s="702">
        <f t="shared" si="6"/>
        <v>0</v>
      </c>
      <c r="AN9" s="702">
        <f t="shared" si="6"/>
        <v>0</v>
      </c>
      <c r="AO9" s="702">
        <f t="shared" si="6"/>
        <v>0</v>
      </c>
      <c r="AP9" s="702">
        <f t="shared" si="6"/>
        <v>0</v>
      </c>
      <c r="AQ9" s="702">
        <f t="shared" si="6"/>
        <v>0</v>
      </c>
      <c r="AR9" s="702">
        <f t="shared" si="6"/>
        <v>0</v>
      </c>
      <c r="AS9" s="702">
        <f t="shared" si="6"/>
        <v>0</v>
      </c>
      <c r="AT9" s="702">
        <f t="shared" si="6"/>
        <v>0</v>
      </c>
      <c r="AU9" s="702">
        <f t="shared" si="6"/>
        <v>0</v>
      </c>
      <c r="AV9" s="702">
        <f t="shared" si="6"/>
        <v>0</v>
      </c>
      <c r="AW9" s="702">
        <f t="shared" si="6"/>
        <v>0</v>
      </c>
      <c r="AX9" s="702">
        <f t="shared" si="6"/>
        <v>0</v>
      </c>
      <c r="AY9" s="702">
        <f t="shared" si="6"/>
        <v>0</v>
      </c>
      <c r="AZ9" s="702">
        <f t="shared" si="6"/>
        <v>0</v>
      </c>
      <c r="BA9" s="702">
        <f t="shared" si="6"/>
        <v>0</v>
      </c>
      <c r="BB9" s="702">
        <f t="shared" si="6"/>
        <v>0</v>
      </c>
      <c r="BC9" s="702">
        <f t="shared" si="6"/>
        <v>0</v>
      </c>
      <c r="BD9" s="702">
        <f t="shared" si="6"/>
        <v>0</v>
      </c>
      <c r="BE9" s="702">
        <f t="shared" si="6"/>
        <v>0</v>
      </c>
      <c r="BF9" s="702">
        <f t="shared" si="6"/>
        <v>0</v>
      </c>
      <c r="BG9" s="702">
        <f>ROUND(+C9+G9+K9+O9+S9+W9+AA9+AE9+AI9+AM9+AQ9+AU9+AY9+BC9,0)</f>
        <v>453978483</v>
      </c>
      <c r="BH9" s="702">
        <f>ROUND(+D9+H9+L9+P9+T9+X9+AB9+AF9+AJ9+AN9+AR9+AV9+AZ9+BD9,0)</f>
        <v>374264489</v>
      </c>
      <c r="BI9" s="702">
        <f>ROUND(+E9+I9+M9+Q9+U9+Y9+AC9+AG9+AK9+AO9+AS9+AW9+BA9+BE9,0)</f>
        <v>355764489</v>
      </c>
      <c r="BJ9" s="702">
        <f>ROUND(+F9+J9+N9+R9+V9+Z9+AD9+AH9+AL9+AP9+AT9+AX9+BB9+BF9,0)</f>
        <v>355764489</v>
      </c>
      <c r="BK9" s="694">
        <f>+SUM(BG10:BG12)-BG9</f>
        <v>0</v>
      </c>
      <c r="BL9" s="695">
        <f>+BG9-B9</f>
        <v>0</v>
      </c>
    </row>
    <row r="10" spans="1:64" ht="45.75" customHeight="1" x14ac:dyDescent="0.25">
      <c r="A10" s="696" t="s">
        <v>2171</v>
      </c>
      <c r="B10" s="933">
        <f>144068563+58199688+251710232</f>
        <v>453978483</v>
      </c>
      <c r="C10" s="697">
        <v>0</v>
      </c>
      <c r="D10" s="697">
        <v>0</v>
      </c>
      <c r="E10" s="697">
        <v>0</v>
      </c>
      <c r="F10" s="697">
        <v>0</v>
      </c>
      <c r="G10" s="697">
        <v>0</v>
      </c>
      <c r="H10" s="697">
        <v>0</v>
      </c>
      <c r="I10" s="697">
        <v>0</v>
      </c>
      <c r="J10" s="697">
        <v>0</v>
      </c>
      <c r="K10" s="697">
        <v>0</v>
      </c>
      <c r="L10" s="697">
        <v>0</v>
      </c>
      <c r="M10" s="697">
        <v>0</v>
      </c>
      <c r="N10" s="697">
        <v>0</v>
      </c>
      <c r="O10" s="697">
        <v>0</v>
      </c>
      <c r="P10" s="697">
        <v>0</v>
      </c>
      <c r="Q10" s="697">
        <v>0</v>
      </c>
      <c r="R10" s="697">
        <v>0</v>
      </c>
      <c r="S10" s="697">
        <v>0</v>
      </c>
      <c r="T10" s="697">
        <v>0</v>
      </c>
      <c r="U10" s="697">
        <v>0</v>
      </c>
      <c r="V10" s="697">
        <v>0</v>
      </c>
      <c r="W10" s="697">
        <v>0</v>
      </c>
      <c r="X10" s="697">
        <v>0</v>
      </c>
      <c r="Y10" s="697">
        <v>0</v>
      </c>
      <c r="Z10" s="697">
        <v>0</v>
      </c>
      <c r="AA10" s="697">
        <v>0</v>
      </c>
      <c r="AB10" s="697">
        <v>0</v>
      </c>
      <c r="AC10" s="697">
        <v>0</v>
      </c>
      <c r="AD10" s="697">
        <v>0</v>
      </c>
      <c r="AE10" s="697">
        <v>0</v>
      </c>
      <c r="AF10" s="697">
        <v>0</v>
      </c>
      <c r="AG10" s="697">
        <v>0</v>
      </c>
      <c r="AH10" s="697">
        <v>0</v>
      </c>
      <c r="AI10" s="697">
        <v>0</v>
      </c>
      <c r="AJ10" s="697">
        <v>0</v>
      </c>
      <c r="AK10" s="697">
        <v>0</v>
      </c>
      <c r="AL10" s="697">
        <v>0</v>
      </c>
      <c r="AM10" s="697">
        <v>0</v>
      </c>
      <c r="AN10" s="697">
        <v>0</v>
      </c>
      <c r="AO10" s="697">
        <v>0</v>
      </c>
      <c r="AP10" s="697">
        <v>0</v>
      </c>
      <c r="AQ10" s="697">
        <v>0</v>
      </c>
      <c r="AR10" s="697">
        <v>0</v>
      </c>
      <c r="AS10" s="697">
        <v>0</v>
      </c>
      <c r="AT10" s="697">
        <v>0</v>
      </c>
      <c r="AU10" s="697">
        <v>0</v>
      </c>
      <c r="AV10" s="697">
        <v>0</v>
      </c>
      <c r="AW10" s="697">
        <v>0</v>
      </c>
      <c r="AX10" s="697">
        <v>0</v>
      </c>
      <c r="AY10" s="697">
        <v>0</v>
      </c>
      <c r="AZ10" s="697">
        <v>0</v>
      </c>
      <c r="BA10" s="697">
        <v>0</v>
      </c>
      <c r="BB10" s="697">
        <v>0</v>
      </c>
      <c r="BC10" s="697">
        <v>0</v>
      </c>
      <c r="BD10" s="697">
        <v>0</v>
      </c>
      <c r="BE10" s="697">
        <v>0</v>
      </c>
      <c r="BF10" s="697">
        <v>0</v>
      </c>
      <c r="BG10" s="697">
        <f t="shared" si="5"/>
        <v>0</v>
      </c>
      <c r="BH10" s="697">
        <f t="shared" si="5"/>
        <v>0</v>
      </c>
      <c r="BI10" s="697">
        <f t="shared" si="5"/>
        <v>0</v>
      </c>
      <c r="BJ10" s="697">
        <f t="shared" si="5"/>
        <v>0</v>
      </c>
      <c r="BK10" s="690"/>
    </row>
    <row r="11" spans="1:64" ht="45.75" customHeight="1" x14ac:dyDescent="0.25">
      <c r="A11" s="698" t="s">
        <v>2172</v>
      </c>
      <c r="B11" s="934"/>
      <c r="C11" s="699">
        <f>144068563+58199688+251710232</f>
        <v>453978483</v>
      </c>
      <c r="D11" s="699">
        <f>144068563+58199688+171996238.32</f>
        <v>374264489.31999999</v>
      </c>
      <c r="E11" s="699">
        <f>144068563+58199688+153496238.32</f>
        <v>355764489.31999999</v>
      </c>
      <c r="F11" s="699">
        <f>144068563+58199688+153496238.32</f>
        <v>355764489.31999999</v>
      </c>
      <c r="G11" s="700">
        <v>0</v>
      </c>
      <c r="H11" s="700">
        <v>0</v>
      </c>
      <c r="I11" s="700">
        <v>0</v>
      </c>
      <c r="J11" s="700">
        <v>0</v>
      </c>
      <c r="K11" s="700">
        <v>0</v>
      </c>
      <c r="L11" s="700">
        <v>0</v>
      </c>
      <c r="M11" s="700">
        <v>0</v>
      </c>
      <c r="N11" s="700">
        <v>0</v>
      </c>
      <c r="O11" s="700">
        <v>0</v>
      </c>
      <c r="P11" s="700">
        <v>0</v>
      </c>
      <c r="Q11" s="700">
        <v>0</v>
      </c>
      <c r="R11" s="700">
        <v>0</v>
      </c>
      <c r="S11" s="700">
        <v>0</v>
      </c>
      <c r="T11" s="700">
        <v>0</v>
      </c>
      <c r="U11" s="700">
        <v>0</v>
      </c>
      <c r="V11" s="700">
        <v>0</v>
      </c>
      <c r="W11" s="700">
        <v>0</v>
      </c>
      <c r="X11" s="700">
        <v>0</v>
      </c>
      <c r="Y11" s="700">
        <v>0</v>
      </c>
      <c r="Z11" s="700">
        <v>0</v>
      </c>
      <c r="AA11" s="700">
        <v>0</v>
      </c>
      <c r="AB11" s="700">
        <v>0</v>
      </c>
      <c r="AC11" s="700">
        <v>0</v>
      </c>
      <c r="AD11" s="700">
        <v>0</v>
      </c>
      <c r="AE11" s="700">
        <v>0</v>
      </c>
      <c r="AF11" s="700">
        <v>0</v>
      </c>
      <c r="AG11" s="700">
        <v>0</v>
      </c>
      <c r="AH11" s="700">
        <v>0</v>
      </c>
      <c r="AI11" s="700">
        <v>0</v>
      </c>
      <c r="AJ11" s="700">
        <v>0</v>
      </c>
      <c r="AK11" s="700">
        <v>0</v>
      </c>
      <c r="AL11" s="700">
        <v>0</v>
      </c>
      <c r="AM11" s="700">
        <v>0</v>
      </c>
      <c r="AN11" s="700">
        <v>0</v>
      </c>
      <c r="AO11" s="700">
        <v>0</v>
      </c>
      <c r="AP11" s="700">
        <v>0</v>
      </c>
      <c r="AQ11" s="700">
        <v>0</v>
      </c>
      <c r="AR11" s="700">
        <v>0</v>
      </c>
      <c r="AS11" s="700">
        <v>0</v>
      </c>
      <c r="AT11" s="700">
        <v>0</v>
      </c>
      <c r="AU11" s="700">
        <v>0</v>
      </c>
      <c r="AV11" s="700">
        <v>0</v>
      </c>
      <c r="AW11" s="700">
        <v>0</v>
      </c>
      <c r="AX11" s="700">
        <v>0</v>
      </c>
      <c r="AY11" s="700">
        <v>0</v>
      </c>
      <c r="AZ11" s="700">
        <v>0</v>
      </c>
      <c r="BA11" s="700">
        <v>0</v>
      </c>
      <c r="BB11" s="700">
        <v>0</v>
      </c>
      <c r="BC11" s="700">
        <v>0</v>
      </c>
      <c r="BD11" s="700">
        <v>0</v>
      </c>
      <c r="BE11" s="700">
        <v>0</v>
      </c>
      <c r="BF11" s="700">
        <v>0</v>
      </c>
      <c r="BG11" s="699">
        <f t="shared" si="5"/>
        <v>453978483</v>
      </c>
      <c r="BH11" s="699">
        <f t="shared" si="5"/>
        <v>374264489.31999999</v>
      </c>
      <c r="BI11" s="699">
        <f t="shared" si="5"/>
        <v>355764489.31999999</v>
      </c>
      <c r="BJ11" s="699">
        <f t="shared" si="5"/>
        <v>355764489.31999999</v>
      </c>
      <c r="BK11" s="690"/>
    </row>
    <row r="12" spans="1:64" ht="45.75" customHeight="1" x14ac:dyDescent="0.25">
      <c r="A12" s="696" t="s">
        <v>2173</v>
      </c>
      <c r="B12" s="935"/>
      <c r="C12" s="697">
        <v>0</v>
      </c>
      <c r="D12" s="697">
        <v>0</v>
      </c>
      <c r="E12" s="697">
        <v>0</v>
      </c>
      <c r="F12" s="697">
        <v>0</v>
      </c>
      <c r="G12" s="697">
        <v>0</v>
      </c>
      <c r="H12" s="697">
        <v>0</v>
      </c>
      <c r="I12" s="697">
        <v>0</v>
      </c>
      <c r="J12" s="697">
        <v>0</v>
      </c>
      <c r="K12" s="697">
        <v>0</v>
      </c>
      <c r="L12" s="697">
        <v>0</v>
      </c>
      <c r="M12" s="697">
        <v>0</v>
      </c>
      <c r="N12" s="697">
        <v>0</v>
      </c>
      <c r="O12" s="697">
        <v>0</v>
      </c>
      <c r="P12" s="697">
        <v>0</v>
      </c>
      <c r="Q12" s="697">
        <v>0</v>
      </c>
      <c r="R12" s="697">
        <v>0</v>
      </c>
      <c r="S12" s="697">
        <v>0</v>
      </c>
      <c r="T12" s="697">
        <v>0</v>
      </c>
      <c r="U12" s="697">
        <v>0</v>
      </c>
      <c r="V12" s="697">
        <v>0</v>
      </c>
      <c r="W12" s="697">
        <v>0</v>
      </c>
      <c r="X12" s="697">
        <v>0</v>
      </c>
      <c r="Y12" s="697">
        <v>0</v>
      </c>
      <c r="Z12" s="697">
        <v>0</v>
      </c>
      <c r="AA12" s="697">
        <v>0</v>
      </c>
      <c r="AB12" s="697">
        <v>0</v>
      </c>
      <c r="AC12" s="697">
        <v>0</v>
      </c>
      <c r="AD12" s="697">
        <v>0</v>
      </c>
      <c r="AE12" s="697">
        <v>0</v>
      </c>
      <c r="AF12" s="697">
        <v>0</v>
      </c>
      <c r="AG12" s="697">
        <v>0</v>
      </c>
      <c r="AH12" s="697">
        <v>0</v>
      </c>
      <c r="AI12" s="697">
        <v>0</v>
      </c>
      <c r="AJ12" s="697">
        <v>0</v>
      </c>
      <c r="AK12" s="697">
        <v>0</v>
      </c>
      <c r="AL12" s="697">
        <v>0</v>
      </c>
      <c r="AM12" s="697">
        <v>0</v>
      </c>
      <c r="AN12" s="697">
        <v>0</v>
      </c>
      <c r="AO12" s="697">
        <v>0</v>
      </c>
      <c r="AP12" s="697">
        <v>0</v>
      </c>
      <c r="AQ12" s="697">
        <v>0</v>
      </c>
      <c r="AR12" s="697">
        <v>0</v>
      </c>
      <c r="AS12" s="697">
        <v>0</v>
      </c>
      <c r="AT12" s="697">
        <v>0</v>
      </c>
      <c r="AU12" s="697">
        <v>0</v>
      </c>
      <c r="AV12" s="697">
        <v>0</v>
      </c>
      <c r="AW12" s="697">
        <v>0</v>
      </c>
      <c r="AX12" s="697">
        <v>0</v>
      </c>
      <c r="AY12" s="697">
        <v>0</v>
      </c>
      <c r="AZ12" s="697">
        <v>0</v>
      </c>
      <c r="BA12" s="697">
        <v>0</v>
      </c>
      <c r="BB12" s="697">
        <v>0</v>
      </c>
      <c r="BC12" s="697">
        <v>0</v>
      </c>
      <c r="BD12" s="697">
        <v>0</v>
      </c>
      <c r="BE12" s="697">
        <v>0</v>
      </c>
      <c r="BF12" s="697">
        <v>0</v>
      </c>
      <c r="BG12" s="697">
        <f t="shared" si="5"/>
        <v>0</v>
      </c>
      <c r="BH12" s="697">
        <f t="shared" si="5"/>
        <v>0</v>
      </c>
      <c r="BI12" s="697">
        <f t="shared" si="5"/>
        <v>0</v>
      </c>
      <c r="BJ12" s="697">
        <f t="shared" si="5"/>
        <v>0</v>
      </c>
      <c r="BK12" s="701">
        <f>+SUM(BG10:BG12)-B10</f>
        <v>0</v>
      </c>
    </row>
    <row r="13" spans="1:64" ht="45.75" customHeight="1" x14ac:dyDescent="0.25">
      <c r="A13" s="688" t="s">
        <v>2174</v>
      </c>
      <c r="B13" s="689">
        <f t="shared" ref="B13:BF13" si="7">+B14+B17</f>
        <v>2757575287</v>
      </c>
      <c r="C13" s="689">
        <f t="shared" si="7"/>
        <v>173626780</v>
      </c>
      <c r="D13" s="689">
        <f t="shared" si="7"/>
        <v>164351514</v>
      </c>
      <c r="E13" s="689">
        <f t="shared" si="7"/>
        <v>164351514</v>
      </c>
      <c r="F13" s="689">
        <f t="shared" si="7"/>
        <v>164351514</v>
      </c>
      <c r="G13" s="689">
        <f t="shared" si="7"/>
        <v>0</v>
      </c>
      <c r="H13" s="689">
        <f t="shared" si="7"/>
        <v>0</v>
      </c>
      <c r="I13" s="689">
        <f t="shared" si="7"/>
        <v>0</v>
      </c>
      <c r="J13" s="689">
        <f t="shared" si="7"/>
        <v>0</v>
      </c>
      <c r="K13" s="689">
        <f t="shared" si="7"/>
        <v>0</v>
      </c>
      <c r="L13" s="689">
        <f t="shared" si="7"/>
        <v>0</v>
      </c>
      <c r="M13" s="689">
        <f t="shared" si="7"/>
        <v>0</v>
      </c>
      <c r="N13" s="689">
        <f t="shared" si="7"/>
        <v>0</v>
      </c>
      <c r="O13" s="689">
        <f t="shared" si="7"/>
        <v>0</v>
      </c>
      <c r="P13" s="689">
        <f t="shared" si="7"/>
        <v>0</v>
      </c>
      <c r="Q13" s="689">
        <f t="shared" si="7"/>
        <v>0</v>
      </c>
      <c r="R13" s="689">
        <f t="shared" si="7"/>
        <v>0</v>
      </c>
      <c r="S13" s="689">
        <f t="shared" si="7"/>
        <v>0</v>
      </c>
      <c r="T13" s="689">
        <f t="shared" si="7"/>
        <v>0</v>
      </c>
      <c r="U13" s="689">
        <f t="shared" si="7"/>
        <v>0</v>
      </c>
      <c r="V13" s="689">
        <f t="shared" si="7"/>
        <v>0</v>
      </c>
      <c r="W13" s="689">
        <f t="shared" si="7"/>
        <v>2583948507</v>
      </c>
      <c r="X13" s="689">
        <f t="shared" si="7"/>
        <v>2583601769.9200001</v>
      </c>
      <c r="Y13" s="689">
        <f t="shared" si="7"/>
        <v>2583601769.9200001</v>
      </c>
      <c r="Z13" s="689">
        <f t="shared" si="7"/>
        <v>2583601769.9200001</v>
      </c>
      <c r="AA13" s="689">
        <f t="shared" si="7"/>
        <v>0</v>
      </c>
      <c r="AB13" s="689">
        <f t="shared" si="7"/>
        <v>0</v>
      </c>
      <c r="AC13" s="689">
        <f t="shared" si="7"/>
        <v>0</v>
      </c>
      <c r="AD13" s="689">
        <f t="shared" si="7"/>
        <v>0</v>
      </c>
      <c r="AE13" s="689">
        <f t="shared" si="7"/>
        <v>0</v>
      </c>
      <c r="AF13" s="689">
        <f t="shared" si="7"/>
        <v>0</v>
      </c>
      <c r="AG13" s="689">
        <f t="shared" si="7"/>
        <v>0</v>
      </c>
      <c r="AH13" s="689">
        <f t="shared" si="7"/>
        <v>0</v>
      </c>
      <c r="AI13" s="689">
        <f t="shared" si="7"/>
        <v>0</v>
      </c>
      <c r="AJ13" s="689">
        <f t="shared" si="7"/>
        <v>0</v>
      </c>
      <c r="AK13" s="689">
        <f t="shared" si="7"/>
        <v>0</v>
      </c>
      <c r="AL13" s="689">
        <f t="shared" si="7"/>
        <v>0</v>
      </c>
      <c r="AM13" s="689">
        <f t="shared" si="7"/>
        <v>0</v>
      </c>
      <c r="AN13" s="689">
        <f t="shared" si="7"/>
        <v>0</v>
      </c>
      <c r="AO13" s="689">
        <f t="shared" si="7"/>
        <v>0</v>
      </c>
      <c r="AP13" s="689">
        <f t="shared" si="7"/>
        <v>0</v>
      </c>
      <c r="AQ13" s="689">
        <f t="shared" si="7"/>
        <v>0</v>
      </c>
      <c r="AR13" s="689">
        <f t="shared" si="7"/>
        <v>0</v>
      </c>
      <c r="AS13" s="689">
        <f t="shared" si="7"/>
        <v>0</v>
      </c>
      <c r="AT13" s="689">
        <f t="shared" si="7"/>
        <v>0</v>
      </c>
      <c r="AU13" s="689">
        <f t="shared" si="7"/>
        <v>0</v>
      </c>
      <c r="AV13" s="689">
        <f t="shared" si="7"/>
        <v>0</v>
      </c>
      <c r="AW13" s="689">
        <f t="shared" si="7"/>
        <v>0</v>
      </c>
      <c r="AX13" s="689">
        <f t="shared" si="7"/>
        <v>0</v>
      </c>
      <c r="AY13" s="689">
        <f t="shared" si="7"/>
        <v>0</v>
      </c>
      <c r="AZ13" s="689">
        <f t="shared" si="7"/>
        <v>0</v>
      </c>
      <c r="BA13" s="689">
        <f t="shared" si="7"/>
        <v>0</v>
      </c>
      <c r="BB13" s="689">
        <f t="shared" si="7"/>
        <v>0</v>
      </c>
      <c r="BC13" s="689">
        <f t="shared" si="7"/>
        <v>0</v>
      </c>
      <c r="BD13" s="689">
        <f t="shared" si="7"/>
        <v>0</v>
      </c>
      <c r="BE13" s="689">
        <f t="shared" si="7"/>
        <v>0</v>
      </c>
      <c r="BF13" s="689">
        <f t="shared" si="7"/>
        <v>0</v>
      </c>
      <c r="BG13" s="689">
        <f t="shared" si="5"/>
        <v>2757575287</v>
      </c>
      <c r="BH13" s="689">
        <f t="shared" si="5"/>
        <v>2747953283.9200001</v>
      </c>
      <c r="BI13" s="689">
        <f t="shared" si="5"/>
        <v>2747953283.9200001</v>
      </c>
      <c r="BJ13" s="689">
        <f t="shared" si="5"/>
        <v>2747953283.9200001</v>
      </c>
      <c r="BK13" s="690"/>
    </row>
    <row r="14" spans="1:64" ht="45.75" customHeight="1" x14ac:dyDescent="0.25">
      <c r="A14" s="607" t="s">
        <v>2175</v>
      </c>
      <c r="B14" s="702">
        <f t="shared" ref="B14:AD14" si="8">SUM(B15:B16)</f>
        <v>0</v>
      </c>
      <c r="C14" s="702">
        <f t="shared" si="8"/>
        <v>0</v>
      </c>
      <c r="D14" s="702">
        <f t="shared" si="8"/>
        <v>0</v>
      </c>
      <c r="E14" s="702">
        <f t="shared" si="8"/>
        <v>0</v>
      </c>
      <c r="F14" s="702">
        <f t="shared" si="8"/>
        <v>0</v>
      </c>
      <c r="G14" s="702">
        <f t="shared" si="8"/>
        <v>0</v>
      </c>
      <c r="H14" s="702">
        <f t="shared" si="8"/>
        <v>0</v>
      </c>
      <c r="I14" s="702">
        <f t="shared" si="8"/>
        <v>0</v>
      </c>
      <c r="J14" s="702">
        <f t="shared" si="8"/>
        <v>0</v>
      </c>
      <c r="K14" s="702">
        <f t="shared" si="8"/>
        <v>0</v>
      </c>
      <c r="L14" s="702">
        <f t="shared" si="8"/>
        <v>0</v>
      </c>
      <c r="M14" s="702">
        <f t="shared" si="8"/>
        <v>0</v>
      </c>
      <c r="N14" s="702">
        <f t="shared" si="8"/>
        <v>0</v>
      </c>
      <c r="O14" s="702">
        <f t="shared" si="8"/>
        <v>0</v>
      </c>
      <c r="P14" s="702">
        <f t="shared" si="8"/>
        <v>0</v>
      </c>
      <c r="Q14" s="702">
        <f t="shared" si="8"/>
        <v>0</v>
      </c>
      <c r="R14" s="702">
        <f t="shared" si="8"/>
        <v>0</v>
      </c>
      <c r="S14" s="702">
        <f t="shared" si="8"/>
        <v>0</v>
      </c>
      <c r="T14" s="702">
        <f t="shared" si="8"/>
        <v>0</v>
      </c>
      <c r="U14" s="702">
        <f t="shared" si="8"/>
        <v>0</v>
      </c>
      <c r="V14" s="702">
        <f t="shared" si="8"/>
        <v>0</v>
      </c>
      <c r="W14" s="702">
        <f t="shared" si="8"/>
        <v>0</v>
      </c>
      <c r="X14" s="702">
        <f t="shared" si="8"/>
        <v>0</v>
      </c>
      <c r="Y14" s="702">
        <f t="shared" si="8"/>
        <v>0</v>
      </c>
      <c r="Z14" s="702">
        <f t="shared" si="8"/>
        <v>0</v>
      </c>
      <c r="AA14" s="702">
        <f t="shared" si="8"/>
        <v>0</v>
      </c>
      <c r="AB14" s="702">
        <f t="shared" si="8"/>
        <v>0</v>
      </c>
      <c r="AC14" s="702">
        <f t="shared" si="8"/>
        <v>0</v>
      </c>
      <c r="AD14" s="702">
        <f t="shared" si="8"/>
        <v>0</v>
      </c>
      <c r="AE14" s="702">
        <f t="shared" ref="AE14:BF14" si="9">SUM(AE15:AE16)</f>
        <v>0</v>
      </c>
      <c r="AF14" s="702">
        <f t="shared" si="9"/>
        <v>0</v>
      </c>
      <c r="AG14" s="702">
        <f t="shared" si="9"/>
        <v>0</v>
      </c>
      <c r="AH14" s="702">
        <f t="shared" si="9"/>
        <v>0</v>
      </c>
      <c r="AI14" s="702">
        <f t="shared" si="9"/>
        <v>0</v>
      </c>
      <c r="AJ14" s="702">
        <f t="shared" si="9"/>
        <v>0</v>
      </c>
      <c r="AK14" s="702">
        <f t="shared" si="9"/>
        <v>0</v>
      </c>
      <c r="AL14" s="702">
        <f t="shared" si="9"/>
        <v>0</v>
      </c>
      <c r="AM14" s="702">
        <f t="shared" si="9"/>
        <v>0</v>
      </c>
      <c r="AN14" s="702">
        <f t="shared" si="9"/>
        <v>0</v>
      </c>
      <c r="AO14" s="702">
        <f t="shared" si="9"/>
        <v>0</v>
      </c>
      <c r="AP14" s="702">
        <f t="shared" si="9"/>
        <v>0</v>
      </c>
      <c r="AQ14" s="702">
        <f t="shared" si="9"/>
        <v>0</v>
      </c>
      <c r="AR14" s="702">
        <f t="shared" si="9"/>
        <v>0</v>
      </c>
      <c r="AS14" s="702">
        <f t="shared" si="9"/>
        <v>0</v>
      </c>
      <c r="AT14" s="702">
        <f t="shared" si="9"/>
        <v>0</v>
      </c>
      <c r="AU14" s="702">
        <f t="shared" si="9"/>
        <v>0</v>
      </c>
      <c r="AV14" s="702">
        <f t="shared" si="9"/>
        <v>0</v>
      </c>
      <c r="AW14" s="702">
        <f t="shared" si="9"/>
        <v>0</v>
      </c>
      <c r="AX14" s="702">
        <f t="shared" si="9"/>
        <v>0</v>
      </c>
      <c r="AY14" s="702">
        <f t="shared" si="9"/>
        <v>0</v>
      </c>
      <c r="AZ14" s="702">
        <f t="shared" si="9"/>
        <v>0</v>
      </c>
      <c r="BA14" s="702">
        <f t="shared" si="9"/>
        <v>0</v>
      </c>
      <c r="BB14" s="702">
        <f t="shared" si="9"/>
        <v>0</v>
      </c>
      <c r="BC14" s="702">
        <f t="shared" si="9"/>
        <v>0</v>
      </c>
      <c r="BD14" s="702">
        <f t="shared" si="9"/>
        <v>0</v>
      </c>
      <c r="BE14" s="702">
        <f t="shared" si="9"/>
        <v>0</v>
      </c>
      <c r="BF14" s="702">
        <f t="shared" si="9"/>
        <v>0</v>
      </c>
      <c r="BG14" s="702">
        <f>ROUND(+C14+G14+K14+O14+S14+W14+AA14+AE14+AI14+AM14+AQ14+AU14+AY14+BC14,0)</f>
        <v>0</v>
      </c>
      <c r="BH14" s="702">
        <f>ROUND(+D14+H14+L14+P14+T14+X14+AB14+AF14+AJ14+AN14+AR14+AV14+AZ14+BD14,0)</f>
        <v>0</v>
      </c>
      <c r="BI14" s="702">
        <f>ROUND(+E14+I14+M14+Q14+U14+Y14+AC14+AG14+AK14+AO14+AS14+AW14+BA14+BE14,0)</f>
        <v>0</v>
      </c>
      <c r="BJ14" s="702">
        <f>ROUND(+F14+J14+N14+R14+V14+Z14+AD14+AH14+AL14+AP14+AT14+AX14+BB14+BF14,0)</f>
        <v>0</v>
      </c>
      <c r="BK14" s="694">
        <f>+SUM(BG15:BG16)-BG14</f>
        <v>0</v>
      </c>
      <c r="BL14" s="695">
        <f>+BG14-B14</f>
        <v>0</v>
      </c>
    </row>
    <row r="15" spans="1:64" ht="45.75" customHeight="1" x14ac:dyDescent="0.25">
      <c r="A15" s="696" t="s">
        <v>2176</v>
      </c>
      <c r="B15" s="936">
        <v>0</v>
      </c>
      <c r="C15" s="697">
        <v>0</v>
      </c>
      <c r="D15" s="697">
        <v>0</v>
      </c>
      <c r="E15" s="697">
        <v>0</v>
      </c>
      <c r="F15" s="697">
        <v>0</v>
      </c>
      <c r="G15" s="697">
        <v>0</v>
      </c>
      <c r="H15" s="697">
        <v>0</v>
      </c>
      <c r="I15" s="697">
        <v>0</v>
      </c>
      <c r="J15" s="697">
        <v>0</v>
      </c>
      <c r="K15" s="697">
        <v>0</v>
      </c>
      <c r="L15" s="697">
        <v>0</v>
      </c>
      <c r="M15" s="697">
        <v>0</v>
      </c>
      <c r="N15" s="697">
        <v>0</v>
      </c>
      <c r="O15" s="697">
        <v>0</v>
      </c>
      <c r="P15" s="697">
        <v>0</v>
      </c>
      <c r="Q15" s="697">
        <v>0</v>
      </c>
      <c r="R15" s="697">
        <v>0</v>
      </c>
      <c r="S15" s="697">
        <v>0</v>
      </c>
      <c r="T15" s="697">
        <v>0</v>
      </c>
      <c r="U15" s="697">
        <v>0</v>
      </c>
      <c r="V15" s="697">
        <v>0</v>
      </c>
      <c r="W15" s="697">
        <v>0</v>
      </c>
      <c r="X15" s="697">
        <v>0</v>
      </c>
      <c r="Y15" s="697">
        <v>0</v>
      </c>
      <c r="Z15" s="697">
        <v>0</v>
      </c>
      <c r="AA15" s="697">
        <v>0</v>
      </c>
      <c r="AB15" s="697">
        <v>0</v>
      </c>
      <c r="AC15" s="697">
        <v>0</v>
      </c>
      <c r="AD15" s="697">
        <v>0</v>
      </c>
      <c r="AE15" s="697">
        <v>0</v>
      </c>
      <c r="AF15" s="697">
        <v>0</v>
      </c>
      <c r="AG15" s="697">
        <v>0</v>
      </c>
      <c r="AH15" s="697">
        <v>0</v>
      </c>
      <c r="AI15" s="697">
        <v>0</v>
      </c>
      <c r="AJ15" s="697">
        <v>0</v>
      </c>
      <c r="AK15" s="697">
        <v>0</v>
      </c>
      <c r="AL15" s="697">
        <v>0</v>
      </c>
      <c r="AM15" s="697">
        <v>0</v>
      </c>
      <c r="AN15" s="697">
        <v>0</v>
      </c>
      <c r="AO15" s="697">
        <v>0</v>
      </c>
      <c r="AP15" s="697">
        <v>0</v>
      </c>
      <c r="AQ15" s="697">
        <v>0</v>
      </c>
      <c r="AR15" s="697">
        <v>0</v>
      </c>
      <c r="AS15" s="697">
        <v>0</v>
      </c>
      <c r="AT15" s="697">
        <v>0</v>
      </c>
      <c r="AU15" s="697">
        <v>0</v>
      </c>
      <c r="AV15" s="697">
        <v>0</v>
      </c>
      <c r="AW15" s="697">
        <v>0</v>
      </c>
      <c r="AX15" s="697">
        <v>0</v>
      </c>
      <c r="AY15" s="697">
        <v>0</v>
      </c>
      <c r="AZ15" s="697">
        <v>0</v>
      </c>
      <c r="BA15" s="697">
        <v>0</v>
      </c>
      <c r="BB15" s="697">
        <v>0</v>
      </c>
      <c r="BC15" s="697">
        <v>0</v>
      </c>
      <c r="BD15" s="697">
        <v>0</v>
      </c>
      <c r="BE15" s="697">
        <v>0</v>
      </c>
      <c r="BF15" s="697">
        <v>0</v>
      </c>
      <c r="BG15" s="697">
        <f t="shared" si="5"/>
        <v>0</v>
      </c>
      <c r="BH15" s="697">
        <f t="shared" si="5"/>
        <v>0</v>
      </c>
      <c r="BI15" s="697">
        <f t="shared" si="5"/>
        <v>0</v>
      </c>
      <c r="BJ15" s="697">
        <f t="shared" si="5"/>
        <v>0</v>
      </c>
      <c r="BK15" s="690"/>
    </row>
    <row r="16" spans="1:64" ht="45.75" customHeight="1" x14ac:dyDescent="0.25">
      <c r="A16" s="696" t="s">
        <v>2177</v>
      </c>
      <c r="B16" s="937"/>
      <c r="C16" s="697">
        <v>0</v>
      </c>
      <c r="D16" s="697">
        <v>0</v>
      </c>
      <c r="E16" s="697">
        <v>0</v>
      </c>
      <c r="F16" s="697">
        <v>0</v>
      </c>
      <c r="G16" s="697">
        <v>0</v>
      </c>
      <c r="H16" s="697">
        <v>0</v>
      </c>
      <c r="I16" s="697">
        <v>0</v>
      </c>
      <c r="J16" s="697">
        <v>0</v>
      </c>
      <c r="K16" s="697">
        <v>0</v>
      </c>
      <c r="L16" s="697">
        <v>0</v>
      </c>
      <c r="M16" s="697">
        <v>0</v>
      </c>
      <c r="N16" s="697">
        <v>0</v>
      </c>
      <c r="O16" s="697">
        <v>0</v>
      </c>
      <c r="P16" s="697">
        <v>0</v>
      </c>
      <c r="Q16" s="697">
        <v>0</v>
      </c>
      <c r="R16" s="697">
        <v>0</v>
      </c>
      <c r="S16" s="697">
        <v>0</v>
      </c>
      <c r="T16" s="697">
        <v>0</v>
      </c>
      <c r="U16" s="697">
        <v>0</v>
      </c>
      <c r="V16" s="697">
        <v>0</v>
      </c>
      <c r="W16" s="697">
        <v>0</v>
      </c>
      <c r="X16" s="697">
        <v>0</v>
      </c>
      <c r="Y16" s="697">
        <v>0</v>
      </c>
      <c r="Z16" s="697">
        <v>0</v>
      </c>
      <c r="AA16" s="697">
        <v>0</v>
      </c>
      <c r="AB16" s="697">
        <v>0</v>
      </c>
      <c r="AC16" s="697">
        <v>0</v>
      </c>
      <c r="AD16" s="697">
        <v>0</v>
      </c>
      <c r="AE16" s="697">
        <v>0</v>
      </c>
      <c r="AF16" s="697">
        <v>0</v>
      </c>
      <c r="AG16" s="697">
        <v>0</v>
      </c>
      <c r="AH16" s="697">
        <v>0</v>
      </c>
      <c r="AI16" s="697">
        <v>0</v>
      </c>
      <c r="AJ16" s="697">
        <v>0</v>
      </c>
      <c r="AK16" s="697">
        <v>0</v>
      </c>
      <c r="AL16" s="697">
        <v>0</v>
      </c>
      <c r="AM16" s="697">
        <v>0</v>
      </c>
      <c r="AN16" s="697">
        <v>0</v>
      </c>
      <c r="AO16" s="697">
        <v>0</v>
      </c>
      <c r="AP16" s="697">
        <v>0</v>
      </c>
      <c r="AQ16" s="697">
        <v>0</v>
      </c>
      <c r="AR16" s="697">
        <v>0</v>
      </c>
      <c r="AS16" s="697">
        <v>0</v>
      </c>
      <c r="AT16" s="697">
        <v>0</v>
      </c>
      <c r="AU16" s="697">
        <v>0</v>
      </c>
      <c r="AV16" s="697">
        <v>0</v>
      </c>
      <c r="AW16" s="697">
        <v>0</v>
      </c>
      <c r="AX16" s="697">
        <v>0</v>
      </c>
      <c r="AY16" s="697">
        <v>0</v>
      </c>
      <c r="AZ16" s="697">
        <v>0</v>
      </c>
      <c r="BA16" s="697">
        <v>0</v>
      </c>
      <c r="BB16" s="697">
        <v>0</v>
      </c>
      <c r="BC16" s="697">
        <v>0</v>
      </c>
      <c r="BD16" s="697">
        <v>0</v>
      </c>
      <c r="BE16" s="697">
        <v>0</v>
      </c>
      <c r="BF16" s="697">
        <v>0</v>
      </c>
      <c r="BG16" s="697">
        <f t="shared" si="5"/>
        <v>0</v>
      </c>
      <c r="BH16" s="697">
        <f t="shared" si="5"/>
        <v>0</v>
      </c>
      <c r="BI16" s="697">
        <f t="shared" si="5"/>
        <v>0</v>
      </c>
      <c r="BJ16" s="697">
        <f t="shared" si="5"/>
        <v>0</v>
      </c>
      <c r="BK16" s="694">
        <f>+SUM(BG15:BG16)-B15</f>
        <v>0</v>
      </c>
    </row>
    <row r="17" spans="1:64" ht="45.75" customHeight="1" x14ac:dyDescent="0.25">
      <c r="A17" s="607" t="s">
        <v>2178</v>
      </c>
      <c r="B17" s="693">
        <f>SUM(B18:B21)</f>
        <v>2757575287</v>
      </c>
      <c r="C17" s="693">
        <f t="shared" ref="C17:BF17" si="10">SUM(C18:C21)</f>
        <v>173626780</v>
      </c>
      <c r="D17" s="693">
        <f>SUM(D18:D21)</f>
        <v>164351514</v>
      </c>
      <c r="E17" s="693">
        <f>SUM(E19:E21)</f>
        <v>164351514</v>
      </c>
      <c r="F17" s="693">
        <f>SUM(F19:F21)</f>
        <v>164351514</v>
      </c>
      <c r="G17" s="693">
        <f t="shared" si="10"/>
        <v>0</v>
      </c>
      <c r="H17" s="693">
        <f t="shared" si="10"/>
        <v>0</v>
      </c>
      <c r="I17" s="693">
        <f t="shared" si="10"/>
        <v>0</v>
      </c>
      <c r="J17" s="693">
        <f t="shared" si="10"/>
        <v>0</v>
      </c>
      <c r="K17" s="693">
        <f t="shared" si="10"/>
        <v>0</v>
      </c>
      <c r="L17" s="693">
        <f t="shared" si="10"/>
        <v>0</v>
      </c>
      <c r="M17" s="693">
        <f t="shared" si="10"/>
        <v>0</v>
      </c>
      <c r="N17" s="693">
        <f t="shared" si="10"/>
        <v>0</v>
      </c>
      <c r="O17" s="693">
        <f t="shared" si="10"/>
        <v>0</v>
      </c>
      <c r="P17" s="693">
        <f t="shared" si="10"/>
        <v>0</v>
      </c>
      <c r="Q17" s="693">
        <f t="shared" si="10"/>
        <v>0</v>
      </c>
      <c r="R17" s="693">
        <f t="shared" si="10"/>
        <v>0</v>
      </c>
      <c r="S17" s="693">
        <f t="shared" si="10"/>
        <v>0</v>
      </c>
      <c r="T17" s="693">
        <f t="shared" si="10"/>
        <v>0</v>
      </c>
      <c r="U17" s="693">
        <f t="shared" si="10"/>
        <v>0</v>
      </c>
      <c r="V17" s="693">
        <f t="shared" si="10"/>
        <v>0</v>
      </c>
      <c r="W17" s="693">
        <f t="shared" si="10"/>
        <v>2583948507</v>
      </c>
      <c r="X17" s="693">
        <f t="shared" si="10"/>
        <v>2583601769.9200001</v>
      </c>
      <c r="Y17" s="693">
        <f t="shared" si="10"/>
        <v>2583601769.9200001</v>
      </c>
      <c r="Z17" s="693">
        <f t="shared" si="10"/>
        <v>2583601769.9200001</v>
      </c>
      <c r="AA17" s="693">
        <f t="shared" si="10"/>
        <v>0</v>
      </c>
      <c r="AB17" s="693">
        <f t="shared" si="10"/>
        <v>0</v>
      </c>
      <c r="AC17" s="693">
        <f t="shared" si="10"/>
        <v>0</v>
      </c>
      <c r="AD17" s="693">
        <f t="shared" si="10"/>
        <v>0</v>
      </c>
      <c r="AE17" s="693">
        <f t="shared" si="10"/>
        <v>0</v>
      </c>
      <c r="AF17" s="693">
        <f t="shared" si="10"/>
        <v>0</v>
      </c>
      <c r="AG17" s="693">
        <f t="shared" si="10"/>
        <v>0</v>
      </c>
      <c r="AH17" s="693">
        <f t="shared" si="10"/>
        <v>0</v>
      </c>
      <c r="AI17" s="693">
        <f t="shared" si="10"/>
        <v>0</v>
      </c>
      <c r="AJ17" s="693">
        <f t="shared" si="10"/>
        <v>0</v>
      </c>
      <c r="AK17" s="693">
        <f t="shared" si="10"/>
        <v>0</v>
      </c>
      <c r="AL17" s="693">
        <f t="shared" si="10"/>
        <v>0</v>
      </c>
      <c r="AM17" s="693">
        <f t="shared" si="10"/>
        <v>0</v>
      </c>
      <c r="AN17" s="693">
        <f t="shared" si="10"/>
        <v>0</v>
      </c>
      <c r="AO17" s="693">
        <f t="shared" si="10"/>
        <v>0</v>
      </c>
      <c r="AP17" s="693">
        <f t="shared" si="10"/>
        <v>0</v>
      </c>
      <c r="AQ17" s="693">
        <f t="shared" si="10"/>
        <v>0</v>
      </c>
      <c r="AR17" s="693">
        <f t="shared" si="10"/>
        <v>0</v>
      </c>
      <c r="AS17" s="693">
        <f t="shared" si="10"/>
        <v>0</v>
      </c>
      <c r="AT17" s="693">
        <f t="shared" si="10"/>
        <v>0</v>
      </c>
      <c r="AU17" s="693">
        <f t="shared" si="10"/>
        <v>0</v>
      </c>
      <c r="AV17" s="693">
        <f t="shared" si="10"/>
        <v>0</v>
      </c>
      <c r="AW17" s="693">
        <f t="shared" si="10"/>
        <v>0</v>
      </c>
      <c r="AX17" s="693">
        <f t="shared" si="10"/>
        <v>0</v>
      </c>
      <c r="AY17" s="693">
        <f t="shared" si="10"/>
        <v>0</v>
      </c>
      <c r="AZ17" s="693">
        <f t="shared" si="10"/>
        <v>0</v>
      </c>
      <c r="BA17" s="693">
        <f t="shared" si="10"/>
        <v>0</v>
      </c>
      <c r="BB17" s="693">
        <f t="shared" si="10"/>
        <v>0</v>
      </c>
      <c r="BC17" s="693">
        <f t="shared" si="10"/>
        <v>0</v>
      </c>
      <c r="BD17" s="693">
        <f t="shared" si="10"/>
        <v>0</v>
      </c>
      <c r="BE17" s="693">
        <f t="shared" si="10"/>
        <v>0</v>
      </c>
      <c r="BF17" s="693">
        <f t="shared" si="10"/>
        <v>0</v>
      </c>
      <c r="BG17" s="693">
        <f>ROUND(+C17+G17+K17+O17+S17+W17+AA17+AE17+AI17+AM17+AQ17+AU17+AY17+BC17,0)</f>
        <v>2757575287</v>
      </c>
      <c r="BH17" s="693">
        <f>ROUND(+D17+H17+L17+P17+T17+X17+AB17+AF17+AJ17+AN17+AR17+AV17+AZ17+BD17,0)</f>
        <v>2747953284</v>
      </c>
      <c r="BI17" s="693">
        <f>ROUND(+E17+I17+M17+Q17+U17+Y17+AC17+AG17+AK17+AO17+AS17+AW17+BA17+BE17,0)</f>
        <v>2747953284</v>
      </c>
      <c r="BJ17" s="693">
        <f>ROUND(+F17+J17+N17+R17+V17+Z17+AD17+AH17+AL17+AP17+AT17+AX17+BB17+BF17,0)</f>
        <v>2747953284</v>
      </c>
      <c r="BK17" s="694">
        <f>+SUM(BG18:BG21)-BG17</f>
        <v>0</v>
      </c>
      <c r="BL17" s="695">
        <f>+BG17-B17</f>
        <v>0</v>
      </c>
    </row>
    <row r="18" spans="1:64" ht="45.75" customHeight="1" x14ac:dyDescent="0.25">
      <c r="A18" s="696" t="s">
        <v>2179</v>
      </c>
      <c r="B18" s="933">
        <f>(85764559+36000000+51862221)+2583948507</f>
        <v>2757575287</v>
      </c>
      <c r="C18" s="697">
        <v>0</v>
      </c>
      <c r="D18" s="697">
        <v>0</v>
      </c>
      <c r="E18" s="697">
        <v>0</v>
      </c>
      <c r="F18" s="697">
        <v>0</v>
      </c>
      <c r="G18" s="697">
        <v>0</v>
      </c>
      <c r="H18" s="697">
        <v>0</v>
      </c>
      <c r="I18" s="697">
        <v>0</v>
      </c>
      <c r="J18" s="697">
        <v>0</v>
      </c>
      <c r="K18" s="697">
        <v>0</v>
      </c>
      <c r="L18" s="697">
        <v>0</v>
      </c>
      <c r="M18" s="697">
        <v>0</v>
      </c>
      <c r="N18" s="697">
        <v>0</v>
      </c>
      <c r="O18" s="697">
        <v>0</v>
      </c>
      <c r="P18" s="697">
        <v>0</v>
      </c>
      <c r="Q18" s="697">
        <v>0</v>
      </c>
      <c r="R18" s="697">
        <v>0</v>
      </c>
      <c r="S18" s="697">
        <v>0</v>
      </c>
      <c r="T18" s="697">
        <v>0</v>
      </c>
      <c r="U18" s="697">
        <v>0</v>
      </c>
      <c r="V18" s="697">
        <v>0</v>
      </c>
      <c r="W18" s="697">
        <v>0</v>
      </c>
      <c r="X18" s="697">
        <v>0</v>
      </c>
      <c r="Y18" s="697">
        <v>0</v>
      </c>
      <c r="Z18" s="697">
        <v>0</v>
      </c>
      <c r="AA18" s="697">
        <v>0</v>
      </c>
      <c r="AB18" s="697">
        <v>0</v>
      </c>
      <c r="AC18" s="697">
        <v>0</v>
      </c>
      <c r="AD18" s="697">
        <v>0</v>
      </c>
      <c r="AE18" s="697">
        <v>0</v>
      </c>
      <c r="AF18" s="697">
        <v>0</v>
      </c>
      <c r="AG18" s="697">
        <v>0</v>
      </c>
      <c r="AH18" s="697">
        <v>0</v>
      </c>
      <c r="AI18" s="697">
        <v>0</v>
      </c>
      <c r="AJ18" s="697">
        <v>0</v>
      </c>
      <c r="AK18" s="697">
        <v>0</v>
      </c>
      <c r="AL18" s="697">
        <v>0</v>
      </c>
      <c r="AM18" s="697">
        <v>0</v>
      </c>
      <c r="AN18" s="697">
        <v>0</v>
      </c>
      <c r="AO18" s="697">
        <v>0</v>
      </c>
      <c r="AP18" s="697">
        <v>0</v>
      </c>
      <c r="AQ18" s="697">
        <v>0</v>
      </c>
      <c r="AR18" s="697">
        <v>0</v>
      </c>
      <c r="AS18" s="697">
        <v>0</v>
      </c>
      <c r="AT18" s="697">
        <v>0</v>
      </c>
      <c r="AU18" s="697">
        <v>0</v>
      </c>
      <c r="AV18" s="697">
        <v>0</v>
      </c>
      <c r="AW18" s="697">
        <v>0</v>
      </c>
      <c r="AX18" s="697">
        <v>0</v>
      </c>
      <c r="AY18" s="697">
        <v>0</v>
      </c>
      <c r="AZ18" s="697">
        <v>0</v>
      </c>
      <c r="BA18" s="697">
        <v>0</v>
      </c>
      <c r="BB18" s="697">
        <v>0</v>
      </c>
      <c r="BC18" s="697">
        <v>0</v>
      </c>
      <c r="BD18" s="697">
        <v>0</v>
      </c>
      <c r="BE18" s="697">
        <v>0</v>
      </c>
      <c r="BF18" s="697">
        <v>0</v>
      </c>
      <c r="BG18" s="697">
        <f t="shared" si="5"/>
        <v>0</v>
      </c>
      <c r="BH18" s="697">
        <f t="shared" si="5"/>
        <v>0</v>
      </c>
      <c r="BI18" s="697">
        <f t="shared" si="5"/>
        <v>0</v>
      </c>
      <c r="BJ18" s="697">
        <f t="shared" si="5"/>
        <v>0</v>
      </c>
      <c r="BK18" s="690"/>
    </row>
    <row r="19" spans="1:64" ht="45.75" customHeight="1" x14ac:dyDescent="0.25">
      <c r="A19" s="696" t="s">
        <v>2180</v>
      </c>
      <c r="B19" s="934"/>
      <c r="C19" s="697">
        <v>0</v>
      </c>
      <c r="D19" s="697">
        <v>0</v>
      </c>
      <c r="E19" s="697">
        <v>0</v>
      </c>
      <c r="F19" s="697">
        <v>0</v>
      </c>
      <c r="G19" s="697">
        <v>0</v>
      </c>
      <c r="H19" s="697">
        <v>0</v>
      </c>
      <c r="I19" s="697">
        <v>0</v>
      </c>
      <c r="J19" s="697">
        <v>0</v>
      </c>
      <c r="K19" s="697">
        <v>0</v>
      </c>
      <c r="L19" s="697">
        <v>0</v>
      </c>
      <c r="M19" s="697">
        <v>0</v>
      </c>
      <c r="N19" s="697">
        <v>0</v>
      </c>
      <c r="O19" s="697">
        <v>0</v>
      </c>
      <c r="P19" s="697">
        <v>0</v>
      </c>
      <c r="Q19" s="697">
        <v>0</v>
      </c>
      <c r="R19" s="697">
        <v>0</v>
      </c>
      <c r="S19" s="697">
        <v>0</v>
      </c>
      <c r="T19" s="697">
        <v>0</v>
      </c>
      <c r="U19" s="697">
        <v>0</v>
      </c>
      <c r="V19" s="697">
        <v>0</v>
      </c>
      <c r="W19" s="697">
        <v>0</v>
      </c>
      <c r="X19" s="697">
        <v>0</v>
      </c>
      <c r="Y19" s="697">
        <v>0</v>
      </c>
      <c r="Z19" s="697">
        <v>0</v>
      </c>
      <c r="AA19" s="697">
        <v>0</v>
      </c>
      <c r="AB19" s="697">
        <v>0</v>
      </c>
      <c r="AC19" s="697">
        <v>0</v>
      </c>
      <c r="AD19" s="697">
        <v>0</v>
      </c>
      <c r="AE19" s="697">
        <v>0</v>
      </c>
      <c r="AF19" s="697">
        <v>0</v>
      </c>
      <c r="AG19" s="697">
        <v>0</v>
      </c>
      <c r="AH19" s="697">
        <v>0</v>
      </c>
      <c r="AI19" s="697">
        <v>0</v>
      </c>
      <c r="AJ19" s="697">
        <v>0</v>
      </c>
      <c r="AK19" s="697">
        <v>0</v>
      </c>
      <c r="AL19" s="697">
        <v>0</v>
      </c>
      <c r="AM19" s="697">
        <v>0</v>
      </c>
      <c r="AN19" s="697">
        <v>0</v>
      </c>
      <c r="AO19" s="697">
        <v>0</v>
      </c>
      <c r="AP19" s="697">
        <v>0</v>
      </c>
      <c r="AQ19" s="697">
        <v>0</v>
      </c>
      <c r="AR19" s="697">
        <v>0</v>
      </c>
      <c r="AS19" s="697">
        <v>0</v>
      </c>
      <c r="AT19" s="697">
        <v>0</v>
      </c>
      <c r="AU19" s="697">
        <v>0</v>
      </c>
      <c r="AV19" s="697">
        <v>0</v>
      </c>
      <c r="AW19" s="697">
        <v>0</v>
      </c>
      <c r="AX19" s="697">
        <v>0</v>
      </c>
      <c r="AY19" s="697">
        <v>0</v>
      </c>
      <c r="AZ19" s="697">
        <v>0</v>
      </c>
      <c r="BA19" s="697">
        <v>0</v>
      </c>
      <c r="BB19" s="697">
        <v>0</v>
      </c>
      <c r="BC19" s="697">
        <v>0</v>
      </c>
      <c r="BD19" s="697">
        <v>0</v>
      </c>
      <c r="BE19" s="697">
        <v>0</v>
      </c>
      <c r="BF19" s="697">
        <v>0</v>
      </c>
      <c r="BG19" s="697">
        <f t="shared" si="5"/>
        <v>0</v>
      </c>
      <c r="BH19" s="697">
        <f t="shared" si="5"/>
        <v>0</v>
      </c>
      <c r="BI19" s="697">
        <f t="shared" si="5"/>
        <v>0</v>
      </c>
      <c r="BJ19" s="697">
        <f t="shared" si="5"/>
        <v>0</v>
      </c>
      <c r="BK19" s="690"/>
    </row>
    <row r="20" spans="1:64" ht="45.75" customHeight="1" x14ac:dyDescent="0.25">
      <c r="A20" s="703" t="s">
        <v>2181</v>
      </c>
      <c r="B20" s="934"/>
      <c r="C20" s="699">
        <f>(85764559+36000000+51862221)/2</f>
        <v>86813390</v>
      </c>
      <c r="D20" s="699">
        <f>(121325059+43026455)/2</f>
        <v>82175757</v>
      </c>
      <c r="E20" s="699">
        <f t="shared" ref="E20:F21" si="11">(121325059+43026455)/2</f>
        <v>82175757</v>
      </c>
      <c r="F20" s="699">
        <f t="shared" si="11"/>
        <v>82175757</v>
      </c>
      <c r="G20" s="700">
        <v>0</v>
      </c>
      <c r="H20" s="700">
        <v>0</v>
      </c>
      <c r="I20" s="700">
        <v>0</v>
      </c>
      <c r="J20" s="700">
        <v>0</v>
      </c>
      <c r="K20" s="700">
        <v>0</v>
      </c>
      <c r="L20" s="700">
        <v>0</v>
      </c>
      <c r="M20" s="700">
        <v>0</v>
      </c>
      <c r="N20" s="700">
        <v>0</v>
      </c>
      <c r="O20" s="700">
        <v>0</v>
      </c>
      <c r="P20" s="700">
        <v>0</v>
      </c>
      <c r="Q20" s="700">
        <v>0</v>
      </c>
      <c r="R20" s="700">
        <v>0</v>
      </c>
      <c r="S20" s="700">
        <v>0</v>
      </c>
      <c r="T20" s="700">
        <v>0</v>
      </c>
      <c r="U20" s="700">
        <v>0</v>
      </c>
      <c r="V20" s="700">
        <v>0</v>
      </c>
      <c r="W20" s="704">
        <v>2583948507</v>
      </c>
      <c r="X20" s="704">
        <v>2583601769.9200001</v>
      </c>
      <c r="Y20" s="704">
        <v>2583601769.9200001</v>
      </c>
      <c r="Z20" s="704">
        <v>2583601769.9200001</v>
      </c>
      <c r="AA20" s="700">
        <v>0</v>
      </c>
      <c r="AB20" s="700">
        <v>0</v>
      </c>
      <c r="AC20" s="700">
        <v>0</v>
      </c>
      <c r="AD20" s="700">
        <v>0</v>
      </c>
      <c r="AE20" s="700">
        <v>0</v>
      </c>
      <c r="AF20" s="700">
        <v>0</v>
      </c>
      <c r="AG20" s="700">
        <v>0</v>
      </c>
      <c r="AH20" s="700">
        <v>0</v>
      </c>
      <c r="AI20" s="700">
        <v>0</v>
      </c>
      <c r="AJ20" s="700">
        <v>0</v>
      </c>
      <c r="AK20" s="700">
        <v>0</v>
      </c>
      <c r="AL20" s="700">
        <v>0</v>
      </c>
      <c r="AM20" s="700">
        <v>0</v>
      </c>
      <c r="AN20" s="700">
        <v>0</v>
      </c>
      <c r="AO20" s="700">
        <v>0</v>
      </c>
      <c r="AP20" s="700">
        <v>0</v>
      </c>
      <c r="AQ20" s="700">
        <v>0</v>
      </c>
      <c r="AR20" s="700">
        <v>0</v>
      </c>
      <c r="AS20" s="700">
        <v>0</v>
      </c>
      <c r="AT20" s="700">
        <v>0</v>
      </c>
      <c r="AU20" s="700">
        <v>0</v>
      </c>
      <c r="AV20" s="700">
        <v>0</v>
      </c>
      <c r="AW20" s="700">
        <v>0</v>
      </c>
      <c r="AX20" s="700">
        <v>0</v>
      </c>
      <c r="AY20" s="700">
        <v>0</v>
      </c>
      <c r="AZ20" s="700">
        <v>0</v>
      </c>
      <c r="BA20" s="700">
        <v>0</v>
      </c>
      <c r="BB20" s="700">
        <v>0</v>
      </c>
      <c r="BC20" s="700">
        <v>0</v>
      </c>
      <c r="BD20" s="700">
        <v>0</v>
      </c>
      <c r="BE20" s="700">
        <v>0</v>
      </c>
      <c r="BF20" s="700">
        <v>0</v>
      </c>
      <c r="BG20" s="704">
        <f t="shared" si="5"/>
        <v>2670761897</v>
      </c>
      <c r="BH20" s="704">
        <f t="shared" si="5"/>
        <v>2665777526.9200001</v>
      </c>
      <c r="BI20" s="704">
        <f t="shared" si="5"/>
        <v>2665777526.9200001</v>
      </c>
      <c r="BJ20" s="704">
        <f t="shared" si="5"/>
        <v>2665777526.9200001</v>
      </c>
      <c r="BK20" s="690"/>
    </row>
    <row r="21" spans="1:64" ht="45.75" customHeight="1" x14ac:dyDescent="0.25">
      <c r="A21" s="698" t="s">
        <v>2182</v>
      </c>
      <c r="B21" s="935"/>
      <c r="C21" s="699">
        <f>(85764559+36000000+51862221)/2</f>
        <v>86813390</v>
      </c>
      <c r="D21" s="699">
        <f>(121325059+43026455)/2</f>
        <v>82175757</v>
      </c>
      <c r="E21" s="699">
        <f t="shared" si="11"/>
        <v>82175757</v>
      </c>
      <c r="F21" s="699">
        <f t="shared" si="11"/>
        <v>82175757</v>
      </c>
      <c r="G21" s="700">
        <v>0</v>
      </c>
      <c r="H21" s="700">
        <v>0</v>
      </c>
      <c r="I21" s="700">
        <v>0</v>
      </c>
      <c r="J21" s="700">
        <v>0</v>
      </c>
      <c r="K21" s="700">
        <v>0</v>
      </c>
      <c r="L21" s="700">
        <v>0</v>
      </c>
      <c r="M21" s="700">
        <v>0</v>
      </c>
      <c r="N21" s="700">
        <v>0</v>
      </c>
      <c r="O21" s="700">
        <v>0</v>
      </c>
      <c r="P21" s="700">
        <v>0</v>
      </c>
      <c r="Q21" s="700">
        <v>0</v>
      </c>
      <c r="R21" s="700">
        <v>0</v>
      </c>
      <c r="S21" s="700">
        <v>0</v>
      </c>
      <c r="T21" s="700">
        <v>0</v>
      </c>
      <c r="U21" s="700">
        <v>0</v>
      </c>
      <c r="V21" s="700">
        <v>0</v>
      </c>
      <c r="W21" s="700">
        <v>0</v>
      </c>
      <c r="X21" s="700">
        <v>0</v>
      </c>
      <c r="Y21" s="700">
        <v>0</v>
      </c>
      <c r="Z21" s="700">
        <v>0</v>
      </c>
      <c r="AA21" s="700">
        <v>0</v>
      </c>
      <c r="AB21" s="700">
        <v>0</v>
      </c>
      <c r="AC21" s="700">
        <v>0</v>
      </c>
      <c r="AD21" s="700">
        <v>0</v>
      </c>
      <c r="AE21" s="700">
        <v>0</v>
      </c>
      <c r="AF21" s="700">
        <v>0</v>
      </c>
      <c r="AG21" s="700">
        <v>0</v>
      </c>
      <c r="AH21" s="700">
        <v>0</v>
      </c>
      <c r="AI21" s="700">
        <v>0</v>
      </c>
      <c r="AJ21" s="700">
        <v>0</v>
      </c>
      <c r="AK21" s="700">
        <v>0</v>
      </c>
      <c r="AL21" s="700">
        <v>0</v>
      </c>
      <c r="AM21" s="700">
        <v>0</v>
      </c>
      <c r="AN21" s="700">
        <v>0</v>
      </c>
      <c r="AO21" s="700">
        <v>0</v>
      </c>
      <c r="AP21" s="700">
        <v>0</v>
      </c>
      <c r="AQ21" s="700">
        <v>0</v>
      </c>
      <c r="AR21" s="700">
        <v>0</v>
      </c>
      <c r="AS21" s="700">
        <v>0</v>
      </c>
      <c r="AT21" s="700">
        <v>0</v>
      </c>
      <c r="AU21" s="700">
        <v>0</v>
      </c>
      <c r="AV21" s="700">
        <v>0</v>
      </c>
      <c r="AW21" s="700">
        <v>0</v>
      </c>
      <c r="AX21" s="700">
        <v>0</v>
      </c>
      <c r="AY21" s="700">
        <v>0</v>
      </c>
      <c r="AZ21" s="700">
        <v>0</v>
      </c>
      <c r="BA21" s="700">
        <v>0</v>
      </c>
      <c r="BB21" s="700">
        <v>0</v>
      </c>
      <c r="BC21" s="700">
        <v>0</v>
      </c>
      <c r="BD21" s="700">
        <v>0</v>
      </c>
      <c r="BE21" s="700">
        <v>0</v>
      </c>
      <c r="BF21" s="700">
        <v>0</v>
      </c>
      <c r="BG21" s="699">
        <f t="shared" si="5"/>
        <v>86813390</v>
      </c>
      <c r="BH21" s="699">
        <f t="shared" si="5"/>
        <v>82175757</v>
      </c>
      <c r="BI21" s="699">
        <f t="shared" si="5"/>
        <v>82175757</v>
      </c>
      <c r="BJ21" s="699">
        <f t="shared" si="5"/>
        <v>82175757</v>
      </c>
      <c r="BK21" s="701">
        <f>+SUM(BG18:BG21)-B18</f>
        <v>0</v>
      </c>
    </row>
    <row r="22" spans="1:64" s="687" customFormat="1" ht="45.75" customHeight="1" x14ac:dyDescent="0.25">
      <c r="A22" s="684" t="s">
        <v>2183</v>
      </c>
      <c r="B22" s="685">
        <f>+B23+B41</f>
        <v>33503680581.980003</v>
      </c>
      <c r="C22" s="685">
        <f>+C23+C41</f>
        <v>2346482128</v>
      </c>
      <c r="D22" s="685">
        <f t="shared" ref="D22:BF22" si="12">+D23+D41</f>
        <v>2127064906</v>
      </c>
      <c r="E22" s="685">
        <f t="shared" si="12"/>
        <v>2105504509.1200001</v>
      </c>
      <c r="F22" s="685">
        <f t="shared" si="12"/>
        <v>1855103587.1199994</v>
      </c>
      <c r="G22" s="685">
        <f t="shared" si="12"/>
        <v>47483840</v>
      </c>
      <c r="H22" s="685">
        <f t="shared" si="12"/>
        <v>47483840</v>
      </c>
      <c r="I22" s="685">
        <f t="shared" si="12"/>
        <v>47483840</v>
      </c>
      <c r="J22" s="685">
        <f t="shared" si="12"/>
        <v>45422552</v>
      </c>
      <c r="K22" s="685">
        <f t="shared" si="12"/>
        <v>0</v>
      </c>
      <c r="L22" s="685">
        <f t="shared" si="12"/>
        <v>0</v>
      </c>
      <c r="M22" s="685">
        <f t="shared" si="12"/>
        <v>0</v>
      </c>
      <c r="N22" s="685">
        <f t="shared" si="12"/>
        <v>0</v>
      </c>
      <c r="O22" s="685">
        <f t="shared" si="12"/>
        <v>0</v>
      </c>
      <c r="P22" s="685">
        <f t="shared" si="12"/>
        <v>0</v>
      </c>
      <c r="Q22" s="685">
        <f t="shared" si="12"/>
        <v>0</v>
      </c>
      <c r="R22" s="685">
        <f t="shared" si="12"/>
        <v>0</v>
      </c>
      <c r="S22" s="685">
        <f t="shared" si="12"/>
        <v>557855028.44000018</v>
      </c>
      <c r="T22" s="685">
        <f t="shared" si="12"/>
        <v>529044445.43999982</v>
      </c>
      <c r="U22" s="685">
        <f t="shared" si="12"/>
        <v>529044445.43999982</v>
      </c>
      <c r="V22" s="685">
        <f t="shared" si="12"/>
        <v>529044445.43999982</v>
      </c>
      <c r="W22" s="685">
        <f t="shared" si="12"/>
        <v>29403724769.220001</v>
      </c>
      <c r="X22" s="685">
        <f t="shared" si="12"/>
        <v>29357039008.599998</v>
      </c>
      <c r="Y22" s="685">
        <f t="shared" si="12"/>
        <v>19681992123.169998</v>
      </c>
      <c r="Z22" s="685">
        <f t="shared" si="12"/>
        <v>19681992123.169998</v>
      </c>
      <c r="AA22" s="685">
        <f t="shared" si="12"/>
        <v>939999999.9999994</v>
      </c>
      <c r="AB22" s="685">
        <f t="shared" si="12"/>
        <v>186077109.99999997</v>
      </c>
      <c r="AC22" s="685">
        <f t="shared" si="12"/>
        <v>186077109.99999997</v>
      </c>
      <c r="AD22" s="685">
        <f t="shared" si="12"/>
        <v>186077109.99999997</v>
      </c>
      <c r="AE22" s="685">
        <f t="shared" si="12"/>
        <v>48000000.000000007</v>
      </c>
      <c r="AF22" s="685">
        <f t="shared" si="12"/>
        <v>34612340</v>
      </c>
      <c r="AG22" s="685">
        <f t="shared" si="12"/>
        <v>34612340</v>
      </c>
      <c r="AH22" s="685">
        <f t="shared" si="12"/>
        <v>34612340</v>
      </c>
      <c r="AI22" s="685">
        <f t="shared" si="12"/>
        <v>0</v>
      </c>
      <c r="AJ22" s="685">
        <f t="shared" si="12"/>
        <v>0</v>
      </c>
      <c r="AK22" s="685">
        <f t="shared" si="12"/>
        <v>0</v>
      </c>
      <c r="AL22" s="685">
        <f t="shared" si="12"/>
        <v>0</v>
      </c>
      <c r="AM22" s="685">
        <f t="shared" si="12"/>
        <v>0</v>
      </c>
      <c r="AN22" s="685">
        <f t="shared" si="12"/>
        <v>0</v>
      </c>
      <c r="AO22" s="685">
        <f t="shared" si="12"/>
        <v>0</v>
      </c>
      <c r="AP22" s="685">
        <f t="shared" si="12"/>
        <v>0</v>
      </c>
      <c r="AQ22" s="685">
        <f t="shared" si="12"/>
        <v>0</v>
      </c>
      <c r="AR22" s="685">
        <f t="shared" si="12"/>
        <v>0</v>
      </c>
      <c r="AS22" s="685">
        <f t="shared" si="12"/>
        <v>0</v>
      </c>
      <c r="AT22" s="685">
        <f t="shared" si="12"/>
        <v>0</v>
      </c>
      <c r="AU22" s="685">
        <f t="shared" si="12"/>
        <v>0</v>
      </c>
      <c r="AV22" s="685">
        <f t="shared" si="12"/>
        <v>0</v>
      </c>
      <c r="AW22" s="685">
        <f t="shared" si="12"/>
        <v>0</v>
      </c>
      <c r="AX22" s="685">
        <f t="shared" si="12"/>
        <v>0</v>
      </c>
      <c r="AY22" s="685">
        <f t="shared" si="12"/>
        <v>160134816.31999999</v>
      </c>
      <c r="AZ22" s="685">
        <f t="shared" si="12"/>
        <v>160000000</v>
      </c>
      <c r="BA22" s="685">
        <f t="shared" si="12"/>
        <v>160000000</v>
      </c>
      <c r="BB22" s="685">
        <f t="shared" si="12"/>
        <v>160000000</v>
      </c>
      <c r="BC22" s="685">
        <f t="shared" si="12"/>
        <v>0</v>
      </c>
      <c r="BD22" s="685">
        <f t="shared" si="12"/>
        <v>0</v>
      </c>
      <c r="BE22" s="685">
        <f t="shared" si="12"/>
        <v>0</v>
      </c>
      <c r="BF22" s="685">
        <f t="shared" si="12"/>
        <v>0</v>
      </c>
      <c r="BG22" s="685">
        <f t="shared" si="5"/>
        <v>33503680581.98</v>
      </c>
      <c r="BH22" s="685">
        <f t="shared" si="5"/>
        <v>32441321650.039997</v>
      </c>
      <c r="BI22" s="685">
        <f t="shared" si="5"/>
        <v>22744714367.729996</v>
      </c>
      <c r="BJ22" s="685">
        <f t="shared" si="5"/>
        <v>22492252157.729996</v>
      </c>
      <c r="BK22" s="686"/>
    </row>
    <row r="23" spans="1:64" ht="45.75" customHeight="1" x14ac:dyDescent="0.25">
      <c r="A23" s="688" t="s">
        <v>2184</v>
      </c>
      <c r="B23" s="689">
        <f t="shared" ref="B23:BF23" si="13">+B24+B39</f>
        <v>16701267447.76</v>
      </c>
      <c r="C23" s="689">
        <f t="shared" si="13"/>
        <v>1879818356.9999998</v>
      </c>
      <c r="D23" s="689">
        <f t="shared" si="13"/>
        <v>1661308288</v>
      </c>
      <c r="E23" s="689">
        <f t="shared" si="13"/>
        <v>1639747891.1200001</v>
      </c>
      <c r="F23" s="689">
        <f t="shared" si="13"/>
        <v>1389346969.1199994</v>
      </c>
      <c r="G23" s="689">
        <f t="shared" si="13"/>
        <v>47483840</v>
      </c>
      <c r="H23" s="689">
        <f t="shared" si="13"/>
        <v>47483840</v>
      </c>
      <c r="I23" s="689">
        <f t="shared" si="13"/>
        <v>47483840</v>
      </c>
      <c r="J23" s="689">
        <f t="shared" si="13"/>
        <v>45422552</v>
      </c>
      <c r="K23" s="689">
        <f t="shared" si="13"/>
        <v>0</v>
      </c>
      <c r="L23" s="689">
        <f t="shared" si="13"/>
        <v>0</v>
      </c>
      <c r="M23" s="689">
        <f t="shared" si="13"/>
        <v>0</v>
      </c>
      <c r="N23" s="689">
        <f t="shared" si="13"/>
        <v>0</v>
      </c>
      <c r="O23" s="689">
        <f t="shared" si="13"/>
        <v>0</v>
      </c>
      <c r="P23" s="689">
        <f t="shared" si="13"/>
        <v>0</v>
      </c>
      <c r="Q23" s="689">
        <f t="shared" si="13"/>
        <v>0</v>
      </c>
      <c r="R23" s="689">
        <f t="shared" si="13"/>
        <v>0</v>
      </c>
      <c r="S23" s="689">
        <f t="shared" si="13"/>
        <v>557855028.44000018</v>
      </c>
      <c r="T23" s="689">
        <f t="shared" si="13"/>
        <v>529044445.43999982</v>
      </c>
      <c r="U23" s="689">
        <f t="shared" si="13"/>
        <v>529044445.43999982</v>
      </c>
      <c r="V23" s="689">
        <f t="shared" si="13"/>
        <v>529044445.43999982</v>
      </c>
      <c r="W23" s="689">
        <f t="shared" si="13"/>
        <v>13115975406</v>
      </c>
      <c r="X23" s="689">
        <f t="shared" si="13"/>
        <v>13089283228.6</v>
      </c>
      <c r="Y23" s="689">
        <f t="shared" si="13"/>
        <v>10861041763.969999</v>
      </c>
      <c r="Z23" s="689">
        <f t="shared" si="13"/>
        <v>10861041763.969999</v>
      </c>
      <c r="AA23" s="689">
        <f t="shared" si="13"/>
        <v>939999999.9999994</v>
      </c>
      <c r="AB23" s="689">
        <f t="shared" si="13"/>
        <v>186077109.99999997</v>
      </c>
      <c r="AC23" s="689">
        <f t="shared" si="13"/>
        <v>186077109.99999997</v>
      </c>
      <c r="AD23" s="689">
        <f t="shared" si="13"/>
        <v>186077109.99999997</v>
      </c>
      <c r="AE23" s="689">
        <f t="shared" si="13"/>
        <v>0</v>
      </c>
      <c r="AF23" s="689">
        <f t="shared" si="13"/>
        <v>0</v>
      </c>
      <c r="AG23" s="689">
        <f t="shared" si="13"/>
        <v>0</v>
      </c>
      <c r="AH23" s="689">
        <f t="shared" si="13"/>
        <v>0</v>
      </c>
      <c r="AI23" s="689">
        <f t="shared" si="13"/>
        <v>0</v>
      </c>
      <c r="AJ23" s="689">
        <f t="shared" si="13"/>
        <v>0</v>
      </c>
      <c r="AK23" s="689">
        <f t="shared" si="13"/>
        <v>0</v>
      </c>
      <c r="AL23" s="689">
        <f t="shared" si="13"/>
        <v>0</v>
      </c>
      <c r="AM23" s="689">
        <f t="shared" si="13"/>
        <v>0</v>
      </c>
      <c r="AN23" s="689">
        <f t="shared" si="13"/>
        <v>0</v>
      </c>
      <c r="AO23" s="689">
        <f t="shared" si="13"/>
        <v>0</v>
      </c>
      <c r="AP23" s="689">
        <f t="shared" si="13"/>
        <v>0</v>
      </c>
      <c r="AQ23" s="689">
        <f t="shared" si="13"/>
        <v>0</v>
      </c>
      <c r="AR23" s="689">
        <f t="shared" si="13"/>
        <v>0</v>
      </c>
      <c r="AS23" s="689">
        <f t="shared" si="13"/>
        <v>0</v>
      </c>
      <c r="AT23" s="689">
        <f t="shared" si="13"/>
        <v>0</v>
      </c>
      <c r="AU23" s="689">
        <f t="shared" si="13"/>
        <v>0</v>
      </c>
      <c r="AV23" s="689">
        <f t="shared" si="13"/>
        <v>0</v>
      </c>
      <c r="AW23" s="689">
        <f t="shared" si="13"/>
        <v>0</v>
      </c>
      <c r="AX23" s="689">
        <f t="shared" si="13"/>
        <v>0</v>
      </c>
      <c r="AY23" s="689">
        <f t="shared" si="13"/>
        <v>160134816.31999999</v>
      </c>
      <c r="AZ23" s="689">
        <f t="shared" si="13"/>
        <v>160000000</v>
      </c>
      <c r="BA23" s="689">
        <f t="shared" si="13"/>
        <v>160000000</v>
      </c>
      <c r="BB23" s="689">
        <f t="shared" si="13"/>
        <v>160000000</v>
      </c>
      <c r="BC23" s="689">
        <f t="shared" si="13"/>
        <v>0</v>
      </c>
      <c r="BD23" s="689">
        <f t="shared" si="13"/>
        <v>0</v>
      </c>
      <c r="BE23" s="689">
        <f t="shared" si="13"/>
        <v>0</v>
      </c>
      <c r="BF23" s="689">
        <f t="shared" si="13"/>
        <v>0</v>
      </c>
      <c r="BG23" s="689">
        <f t="shared" si="5"/>
        <v>16701267447.76</v>
      </c>
      <c r="BH23" s="689">
        <f t="shared" si="5"/>
        <v>15673196912.040001</v>
      </c>
      <c r="BI23" s="689">
        <f t="shared" si="5"/>
        <v>13423395050.529999</v>
      </c>
      <c r="BJ23" s="689">
        <f t="shared" si="5"/>
        <v>13170932840.529999</v>
      </c>
      <c r="BK23" s="690"/>
    </row>
    <row r="24" spans="1:64" ht="45.75" customHeight="1" x14ac:dyDescent="0.25">
      <c r="A24" s="607" t="s">
        <v>2185</v>
      </c>
      <c r="B24" s="693">
        <f>SUM(B25:B38)</f>
        <v>16617507617.76</v>
      </c>
      <c r="C24" s="693">
        <f t="shared" ref="C24:BF24" si="14">SUM(C25:C38)</f>
        <v>1843542366.9999998</v>
      </c>
      <c r="D24" s="693">
        <f t="shared" si="14"/>
        <v>1625032298</v>
      </c>
      <c r="E24" s="693">
        <f t="shared" si="14"/>
        <v>1603471901.1200001</v>
      </c>
      <c r="F24" s="693">
        <f t="shared" si="14"/>
        <v>1353070979.1199994</v>
      </c>
      <c r="G24" s="693">
        <f t="shared" si="14"/>
        <v>0</v>
      </c>
      <c r="H24" s="693">
        <f t="shared" si="14"/>
        <v>0</v>
      </c>
      <c r="I24" s="693">
        <f t="shared" si="14"/>
        <v>0</v>
      </c>
      <c r="J24" s="693">
        <f t="shared" si="14"/>
        <v>0</v>
      </c>
      <c r="K24" s="693">
        <f t="shared" si="14"/>
        <v>0</v>
      </c>
      <c r="L24" s="693">
        <f t="shared" si="14"/>
        <v>0</v>
      </c>
      <c r="M24" s="693">
        <f t="shared" si="14"/>
        <v>0</v>
      </c>
      <c r="N24" s="693">
        <f t="shared" si="14"/>
        <v>0</v>
      </c>
      <c r="O24" s="693">
        <f t="shared" si="14"/>
        <v>0</v>
      </c>
      <c r="P24" s="693">
        <f t="shared" si="14"/>
        <v>0</v>
      </c>
      <c r="Q24" s="693">
        <f t="shared" si="14"/>
        <v>0</v>
      </c>
      <c r="R24" s="693">
        <f t="shared" si="14"/>
        <v>0</v>
      </c>
      <c r="S24" s="693">
        <f t="shared" si="14"/>
        <v>557855028.44000018</v>
      </c>
      <c r="T24" s="693">
        <f t="shared" si="14"/>
        <v>529044445.43999982</v>
      </c>
      <c r="U24" s="693">
        <f t="shared" si="14"/>
        <v>529044445.43999982</v>
      </c>
      <c r="V24" s="693">
        <f t="shared" si="14"/>
        <v>529044445.43999982</v>
      </c>
      <c r="W24" s="693">
        <f t="shared" si="14"/>
        <v>13115975406</v>
      </c>
      <c r="X24" s="693">
        <f t="shared" si="14"/>
        <v>13089283228.6</v>
      </c>
      <c r="Y24" s="693">
        <f t="shared" si="14"/>
        <v>10861041763.969999</v>
      </c>
      <c r="Z24" s="693">
        <f t="shared" si="14"/>
        <v>10861041763.969999</v>
      </c>
      <c r="AA24" s="693">
        <f t="shared" si="14"/>
        <v>939999999.9999994</v>
      </c>
      <c r="AB24" s="693">
        <f t="shared" si="14"/>
        <v>186077109.99999997</v>
      </c>
      <c r="AC24" s="693">
        <f t="shared" si="14"/>
        <v>186077109.99999997</v>
      </c>
      <c r="AD24" s="693">
        <f t="shared" si="14"/>
        <v>186077109.99999997</v>
      </c>
      <c r="AE24" s="693">
        <f t="shared" si="14"/>
        <v>0</v>
      </c>
      <c r="AF24" s="693">
        <f t="shared" si="14"/>
        <v>0</v>
      </c>
      <c r="AG24" s="693">
        <f t="shared" si="14"/>
        <v>0</v>
      </c>
      <c r="AH24" s="693">
        <f t="shared" si="14"/>
        <v>0</v>
      </c>
      <c r="AI24" s="693">
        <f t="shared" si="14"/>
        <v>0</v>
      </c>
      <c r="AJ24" s="693">
        <f t="shared" si="14"/>
        <v>0</v>
      </c>
      <c r="AK24" s="693">
        <f t="shared" si="14"/>
        <v>0</v>
      </c>
      <c r="AL24" s="693">
        <f t="shared" si="14"/>
        <v>0</v>
      </c>
      <c r="AM24" s="693">
        <f t="shared" si="14"/>
        <v>0</v>
      </c>
      <c r="AN24" s="693">
        <f t="shared" si="14"/>
        <v>0</v>
      </c>
      <c r="AO24" s="693">
        <f t="shared" si="14"/>
        <v>0</v>
      </c>
      <c r="AP24" s="693">
        <f t="shared" si="14"/>
        <v>0</v>
      </c>
      <c r="AQ24" s="693">
        <f t="shared" si="14"/>
        <v>0</v>
      </c>
      <c r="AR24" s="693">
        <f t="shared" si="14"/>
        <v>0</v>
      </c>
      <c r="AS24" s="693">
        <f t="shared" si="14"/>
        <v>0</v>
      </c>
      <c r="AT24" s="693">
        <f t="shared" si="14"/>
        <v>0</v>
      </c>
      <c r="AU24" s="693">
        <f t="shared" si="14"/>
        <v>0</v>
      </c>
      <c r="AV24" s="693">
        <f t="shared" si="14"/>
        <v>0</v>
      </c>
      <c r="AW24" s="693">
        <f t="shared" si="14"/>
        <v>0</v>
      </c>
      <c r="AX24" s="693">
        <f t="shared" si="14"/>
        <v>0</v>
      </c>
      <c r="AY24" s="693">
        <f t="shared" si="14"/>
        <v>160134816.31999999</v>
      </c>
      <c r="AZ24" s="693">
        <f t="shared" si="14"/>
        <v>160000000</v>
      </c>
      <c r="BA24" s="693">
        <f t="shared" si="14"/>
        <v>160000000</v>
      </c>
      <c r="BB24" s="693">
        <f t="shared" si="14"/>
        <v>160000000</v>
      </c>
      <c r="BC24" s="693">
        <f t="shared" si="14"/>
        <v>0</v>
      </c>
      <c r="BD24" s="693">
        <f t="shared" si="14"/>
        <v>0</v>
      </c>
      <c r="BE24" s="693">
        <f t="shared" si="14"/>
        <v>0</v>
      </c>
      <c r="BF24" s="693">
        <f t="shared" si="14"/>
        <v>0</v>
      </c>
      <c r="BG24" s="693">
        <f>ROUND(+C24+G24+K24+O24+S24+W24+AA24+AE24+AI24+AM24+AQ24+AU24+AY24+BC24,0)</f>
        <v>16617507618</v>
      </c>
      <c r="BH24" s="693">
        <f>ROUND(+D24+H24+L24+P24+T24+X24+AB24+AF24+AJ24+AN24+AR24+AV24+AZ24+BD24,0)</f>
        <v>15589437082</v>
      </c>
      <c r="BI24" s="693">
        <f>ROUND(+E24+I24+M24+Q24+U24+Y24+AC24+AG24+AK24+AO24+AS24+AW24+BA24+BE24,0)</f>
        <v>13339635221</v>
      </c>
      <c r="BJ24" s="693">
        <f>ROUND(+F24+J24+N24+R24+V24+Z24+AD24+AH24+AL24+AP24+AT24+AX24+BB24+BF24,0)</f>
        <v>13089234299</v>
      </c>
      <c r="BK24" s="694">
        <f>+SUM(BG25:BG38)-BG24</f>
        <v>-0.24000358581542969</v>
      </c>
      <c r="BL24" s="695">
        <f>+BG24-B24</f>
        <v>0.23999977111816406</v>
      </c>
    </row>
    <row r="25" spans="1:64" ht="45.75" customHeight="1" x14ac:dyDescent="0.25">
      <c r="A25" s="696" t="s">
        <v>2186</v>
      </c>
      <c r="B25" s="933">
        <f>3501532211.76+9997679226+3118296180</f>
        <v>16617507617.76</v>
      </c>
      <c r="C25" s="697">
        <v>0</v>
      </c>
      <c r="D25" s="697">
        <v>0</v>
      </c>
      <c r="E25" s="697">
        <v>0</v>
      </c>
      <c r="F25" s="697">
        <v>0</v>
      </c>
      <c r="G25" s="697">
        <v>0</v>
      </c>
      <c r="H25" s="697">
        <v>0</v>
      </c>
      <c r="I25" s="697">
        <v>0</v>
      </c>
      <c r="J25" s="697">
        <v>0</v>
      </c>
      <c r="K25" s="697">
        <v>0</v>
      </c>
      <c r="L25" s="697">
        <v>0</v>
      </c>
      <c r="M25" s="697">
        <v>0</v>
      </c>
      <c r="N25" s="697">
        <v>0</v>
      </c>
      <c r="O25" s="697">
        <v>0</v>
      </c>
      <c r="P25" s="697">
        <v>0</v>
      </c>
      <c r="Q25" s="697">
        <v>0</v>
      </c>
      <c r="R25" s="697">
        <v>0</v>
      </c>
      <c r="S25" s="697">
        <v>0</v>
      </c>
      <c r="T25" s="697">
        <v>0</v>
      </c>
      <c r="U25" s="697">
        <v>0</v>
      </c>
      <c r="V25" s="697">
        <v>0</v>
      </c>
      <c r="W25" s="697">
        <v>0</v>
      </c>
      <c r="X25" s="697">
        <v>0</v>
      </c>
      <c r="Y25" s="697">
        <v>0</v>
      </c>
      <c r="Z25" s="697">
        <v>0</v>
      </c>
      <c r="AA25" s="697">
        <v>0</v>
      </c>
      <c r="AB25" s="697">
        <v>0</v>
      </c>
      <c r="AC25" s="697">
        <v>0</v>
      </c>
      <c r="AD25" s="697">
        <v>0</v>
      </c>
      <c r="AE25" s="697">
        <v>0</v>
      </c>
      <c r="AF25" s="697">
        <v>0</v>
      </c>
      <c r="AG25" s="697">
        <v>0</v>
      </c>
      <c r="AH25" s="697">
        <v>0</v>
      </c>
      <c r="AI25" s="697">
        <v>0</v>
      </c>
      <c r="AJ25" s="697">
        <v>0</v>
      </c>
      <c r="AK25" s="697">
        <v>0</v>
      </c>
      <c r="AL25" s="697">
        <v>0</v>
      </c>
      <c r="AM25" s="697">
        <v>0</v>
      </c>
      <c r="AN25" s="697">
        <v>0</v>
      </c>
      <c r="AO25" s="697">
        <v>0</v>
      </c>
      <c r="AP25" s="697">
        <v>0</v>
      </c>
      <c r="AQ25" s="697">
        <v>0</v>
      </c>
      <c r="AR25" s="697">
        <v>0</v>
      </c>
      <c r="AS25" s="697">
        <v>0</v>
      </c>
      <c r="AT25" s="697">
        <v>0</v>
      </c>
      <c r="AU25" s="697">
        <v>0</v>
      </c>
      <c r="AV25" s="697">
        <v>0</v>
      </c>
      <c r="AW25" s="697">
        <v>0</v>
      </c>
      <c r="AX25" s="697">
        <v>0</v>
      </c>
      <c r="AY25" s="697">
        <v>0</v>
      </c>
      <c r="AZ25" s="697">
        <v>0</v>
      </c>
      <c r="BA25" s="697">
        <v>0</v>
      </c>
      <c r="BB25" s="697">
        <v>0</v>
      </c>
      <c r="BC25" s="697">
        <v>0</v>
      </c>
      <c r="BD25" s="697">
        <v>0</v>
      </c>
      <c r="BE25" s="697">
        <v>0</v>
      </c>
      <c r="BF25" s="697">
        <v>0</v>
      </c>
      <c r="BG25" s="697">
        <f t="shared" si="5"/>
        <v>0</v>
      </c>
      <c r="BH25" s="697">
        <f t="shared" si="5"/>
        <v>0</v>
      </c>
      <c r="BI25" s="697">
        <f t="shared" si="5"/>
        <v>0</v>
      </c>
      <c r="BJ25" s="697">
        <f t="shared" si="5"/>
        <v>0</v>
      </c>
      <c r="BK25" s="690"/>
    </row>
    <row r="26" spans="1:64" ht="45.75" customHeight="1" x14ac:dyDescent="0.25">
      <c r="A26" s="705" t="s">
        <v>2187</v>
      </c>
      <c r="B26" s="934"/>
      <c r="C26" s="699">
        <v>409676081.55555576</v>
      </c>
      <c r="D26" s="699">
        <v>361118288.44444418</v>
      </c>
      <c r="E26" s="699">
        <v>356327089.13777786</v>
      </c>
      <c r="F26" s="699">
        <v>300682439.80444419</v>
      </c>
      <c r="G26" s="700">
        <v>0</v>
      </c>
      <c r="H26" s="700">
        <v>0</v>
      </c>
      <c r="I26" s="700">
        <v>0</v>
      </c>
      <c r="J26" s="700">
        <v>0</v>
      </c>
      <c r="K26" s="700">
        <v>0</v>
      </c>
      <c r="L26" s="700">
        <v>0</v>
      </c>
      <c r="M26" s="700">
        <v>0</v>
      </c>
      <c r="N26" s="700">
        <v>0</v>
      </c>
      <c r="O26" s="700">
        <v>0</v>
      </c>
      <c r="P26" s="700">
        <v>0</v>
      </c>
      <c r="Q26" s="700">
        <v>0</v>
      </c>
      <c r="R26" s="700">
        <v>0</v>
      </c>
      <c r="S26" s="699">
        <v>123967784.09777778</v>
      </c>
      <c r="T26" s="699">
        <v>117565432.31999999</v>
      </c>
      <c r="U26" s="699">
        <v>117565432.31999999</v>
      </c>
      <c r="V26" s="699">
        <v>117565432.31999999</v>
      </c>
      <c r="W26" s="706">
        <f>9997679226+3118296180</f>
        <v>13115975406</v>
      </c>
      <c r="X26" s="706">
        <f>9970987049.6+3118296179</f>
        <v>13089283228.6</v>
      </c>
      <c r="Y26" s="706">
        <f>9889345285.09+971696478.88</f>
        <v>10861041763.969999</v>
      </c>
      <c r="Z26" s="706">
        <f>9889345285.09+971696478.88</f>
        <v>10861041763.969999</v>
      </c>
      <c r="AA26" s="699">
        <v>208888888.88888842</v>
      </c>
      <c r="AB26" s="699">
        <v>41350468.888888843</v>
      </c>
      <c r="AC26" s="699">
        <v>41350468.888888843</v>
      </c>
      <c r="AD26" s="699">
        <v>41350468.888888843</v>
      </c>
      <c r="AE26" s="700">
        <v>0</v>
      </c>
      <c r="AF26" s="700">
        <v>0</v>
      </c>
      <c r="AG26" s="700">
        <v>0</v>
      </c>
      <c r="AH26" s="700">
        <v>0</v>
      </c>
      <c r="AI26" s="700">
        <v>0</v>
      </c>
      <c r="AJ26" s="700">
        <v>0</v>
      </c>
      <c r="AK26" s="700">
        <v>0</v>
      </c>
      <c r="AL26" s="700">
        <v>0</v>
      </c>
      <c r="AM26" s="700">
        <v>0</v>
      </c>
      <c r="AN26" s="700">
        <v>0</v>
      </c>
      <c r="AO26" s="700">
        <v>0</v>
      </c>
      <c r="AP26" s="700">
        <v>0</v>
      </c>
      <c r="AQ26" s="700">
        <v>0</v>
      </c>
      <c r="AR26" s="700">
        <v>0</v>
      </c>
      <c r="AS26" s="700">
        <v>0</v>
      </c>
      <c r="AT26" s="700">
        <v>0</v>
      </c>
      <c r="AU26" s="700">
        <v>0</v>
      </c>
      <c r="AV26" s="700">
        <v>0</v>
      </c>
      <c r="AW26" s="700">
        <v>0</v>
      </c>
      <c r="AX26" s="700">
        <v>0</v>
      </c>
      <c r="AY26" s="699">
        <v>35585514.737777784</v>
      </c>
      <c r="AZ26" s="699">
        <v>35555555.555555575</v>
      </c>
      <c r="BA26" s="699">
        <v>35555555.555555575</v>
      </c>
      <c r="BB26" s="699">
        <v>35555555.555555575</v>
      </c>
      <c r="BC26" s="700">
        <v>0</v>
      </c>
      <c r="BD26" s="700">
        <v>0</v>
      </c>
      <c r="BE26" s="700">
        <v>0</v>
      </c>
      <c r="BF26" s="700">
        <v>0</v>
      </c>
      <c r="BG26" s="699">
        <f t="shared" si="5"/>
        <v>13894093675.280001</v>
      </c>
      <c r="BH26" s="699">
        <f t="shared" si="5"/>
        <v>13644872973.808889</v>
      </c>
      <c r="BI26" s="699">
        <f t="shared" si="5"/>
        <v>11411840309.872221</v>
      </c>
      <c r="BJ26" s="699">
        <f t="shared" si="5"/>
        <v>11356195660.538889</v>
      </c>
      <c r="BK26" s="690"/>
    </row>
    <row r="27" spans="1:64" ht="45.75" customHeight="1" x14ac:dyDescent="0.25">
      <c r="A27" s="698" t="s">
        <v>2188</v>
      </c>
      <c r="B27" s="934"/>
      <c r="C27" s="699">
        <v>204838040.77777776</v>
      </c>
      <c r="D27" s="699">
        <v>180559144.22222221</v>
      </c>
      <c r="E27" s="699">
        <v>178163544.56888887</v>
      </c>
      <c r="F27" s="699">
        <v>150341219.90222219</v>
      </c>
      <c r="G27" s="700">
        <v>0</v>
      </c>
      <c r="H27" s="700">
        <v>0</v>
      </c>
      <c r="I27" s="700">
        <v>0</v>
      </c>
      <c r="J27" s="700">
        <v>0</v>
      </c>
      <c r="K27" s="700">
        <v>0</v>
      </c>
      <c r="L27" s="700">
        <v>0</v>
      </c>
      <c r="M27" s="700">
        <v>0</v>
      </c>
      <c r="N27" s="700">
        <v>0</v>
      </c>
      <c r="O27" s="700">
        <v>0</v>
      </c>
      <c r="P27" s="700">
        <v>0</v>
      </c>
      <c r="Q27" s="700">
        <v>0</v>
      </c>
      <c r="R27" s="700">
        <v>0</v>
      </c>
      <c r="S27" s="699">
        <v>61983892.048888892</v>
      </c>
      <c r="T27" s="699">
        <v>58782716.159999996</v>
      </c>
      <c r="U27" s="699">
        <v>58782716.159999996</v>
      </c>
      <c r="V27" s="699">
        <v>58782716.159999996</v>
      </c>
      <c r="W27" s="700">
        <v>0</v>
      </c>
      <c r="X27" s="700">
        <v>0</v>
      </c>
      <c r="Y27" s="700">
        <v>0</v>
      </c>
      <c r="Z27" s="700">
        <v>0</v>
      </c>
      <c r="AA27" s="699">
        <v>104444444.44444443</v>
      </c>
      <c r="AB27" s="699">
        <v>20675234.444444444</v>
      </c>
      <c r="AC27" s="699">
        <v>20675234.444444444</v>
      </c>
      <c r="AD27" s="699">
        <v>20675234.444444444</v>
      </c>
      <c r="AE27" s="700">
        <v>0</v>
      </c>
      <c r="AF27" s="700">
        <v>0</v>
      </c>
      <c r="AG27" s="700">
        <v>0</v>
      </c>
      <c r="AH27" s="700">
        <v>0</v>
      </c>
      <c r="AI27" s="700">
        <v>0</v>
      </c>
      <c r="AJ27" s="700">
        <v>0</v>
      </c>
      <c r="AK27" s="700">
        <v>0</v>
      </c>
      <c r="AL27" s="700">
        <v>0</v>
      </c>
      <c r="AM27" s="700">
        <v>0</v>
      </c>
      <c r="AN27" s="700">
        <v>0</v>
      </c>
      <c r="AO27" s="700">
        <v>0</v>
      </c>
      <c r="AP27" s="700">
        <v>0</v>
      </c>
      <c r="AQ27" s="700">
        <v>0</v>
      </c>
      <c r="AR27" s="700">
        <v>0</v>
      </c>
      <c r="AS27" s="700">
        <v>0</v>
      </c>
      <c r="AT27" s="700">
        <v>0</v>
      </c>
      <c r="AU27" s="700">
        <v>0</v>
      </c>
      <c r="AV27" s="700">
        <v>0</v>
      </c>
      <c r="AW27" s="700">
        <v>0</v>
      </c>
      <c r="AX27" s="700">
        <v>0</v>
      </c>
      <c r="AY27" s="699">
        <v>17792757.368888889</v>
      </c>
      <c r="AZ27" s="699">
        <v>17777777.777777776</v>
      </c>
      <c r="BA27" s="699">
        <v>17777777.777777776</v>
      </c>
      <c r="BB27" s="699">
        <v>17777777.777777776</v>
      </c>
      <c r="BC27" s="700">
        <v>0</v>
      </c>
      <c r="BD27" s="700">
        <v>0</v>
      </c>
      <c r="BE27" s="700">
        <v>0</v>
      </c>
      <c r="BF27" s="700">
        <v>0</v>
      </c>
      <c r="BG27" s="699">
        <f t="shared" si="5"/>
        <v>389059134.63999999</v>
      </c>
      <c r="BH27" s="699">
        <f t="shared" si="5"/>
        <v>277794872.60444444</v>
      </c>
      <c r="BI27" s="699">
        <f t="shared" si="5"/>
        <v>275399272.95111108</v>
      </c>
      <c r="BJ27" s="699">
        <f t="shared" si="5"/>
        <v>247576948.28444439</v>
      </c>
      <c r="BK27" s="690"/>
    </row>
    <row r="28" spans="1:64" ht="45.75" customHeight="1" x14ac:dyDescent="0.25">
      <c r="A28" s="696" t="s">
        <v>2189</v>
      </c>
      <c r="B28" s="934"/>
      <c r="C28" s="697">
        <v>0</v>
      </c>
      <c r="D28" s="697">
        <v>0</v>
      </c>
      <c r="E28" s="697">
        <v>0</v>
      </c>
      <c r="F28" s="697">
        <v>0</v>
      </c>
      <c r="G28" s="697">
        <v>0</v>
      </c>
      <c r="H28" s="697">
        <v>0</v>
      </c>
      <c r="I28" s="697">
        <v>0</v>
      </c>
      <c r="J28" s="697">
        <v>0</v>
      </c>
      <c r="K28" s="697">
        <v>0</v>
      </c>
      <c r="L28" s="697">
        <v>0</v>
      </c>
      <c r="M28" s="697">
        <v>0</v>
      </c>
      <c r="N28" s="697">
        <v>0</v>
      </c>
      <c r="O28" s="697">
        <v>0</v>
      </c>
      <c r="P28" s="697">
        <v>0</v>
      </c>
      <c r="Q28" s="697">
        <v>0</v>
      </c>
      <c r="R28" s="697">
        <v>0</v>
      </c>
      <c r="S28" s="697">
        <v>0</v>
      </c>
      <c r="T28" s="697">
        <v>0</v>
      </c>
      <c r="U28" s="697">
        <v>0</v>
      </c>
      <c r="V28" s="697">
        <v>0</v>
      </c>
      <c r="W28" s="697">
        <v>0</v>
      </c>
      <c r="X28" s="697">
        <v>0</v>
      </c>
      <c r="Y28" s="697">
        <v>0</v>
      </c>
      <c r="Z28" s="697">
        <v>0</v>
      </c>
      <c r="AA28" s="697">
        <v>0</v>
      </c>
      <c r="AB28" s="697">
        <v>0</v>
      </c>
      <c r="AC28" s="697">
        <v>0</v>
      </c>
      <c r="AD28" s="697">
        <v>0</v>
      </c>
      <c r="AE28" s="697">
        <v>0</v>
      </c>
      <c r="AF28" s="697">
        <v>0</v>
      </c>
      <c r="AG28" s="697">
        <v>0</v>
      </c>
      <c r="AH28" s="697">
        <v>0</v>
      </c>
      <c r="AI28" s="697">
        <v>0</v>
      </c>
      <c r="AJ28" s="697">
        <v>0</v>
      </c>
      <c r="AK28" s="697">
        <v>0</v>
      </c>
      <c r="AL28" s="697">
        <v>0</v>
      </c>
      <c r="AM28" s="697">
        <v>0</v>
      </c>
      <c r="AN28" s="697">
        <v>0</v>
      </c>
      <c r="AO28" s="697">
        <v>0</v>
      </c>
      <c r="AP28" s="697">
        <v>0</v>
      </c>
      <c r="AQ28" s="697">
        <v>0</v>
      </c>
      <c r="AR28" s="697">
        <v>0</v>
      </c>
      <c r="AS28" s="697">
        <v>0</v>
      </c>
      <c r="AT28" s="697">
        <v>0</v>
      </c>
      <c r="AU28" s="697">
        <v>0</v>
      </c>
      <c r="AV28" s="697">
        <v>0</v>
      </c>
      <c r="AW28" s="697">
        <v>0</v>
      </c>
      <c r="AX28" s="697">
        <v>0</v>
      </c>
      <c r="AY28" s="697">
        <v>0</v>
      </c>
      <c r="AZ28" s="697">
        <v>0</v>
      </c>
      <c r="BA28" s="697">
        <v>0</v>
      </c>
      <c r="BB28" s="697">
        <v>0</v>
      </c>
      <c r="BC28" s="697">
        <v>0</v>
      </c>
      <c r="BD28" s="697">
        <v>0</v>
      </c>
      <c r="BE28" s="697">
        <v>0</v>
      </c>
      <c r="BF28" s="697">
        <v>0</v>
      </c>
      <c r="BG28" s="697">
        <f t="shared" si="5"/>
        <v>0</v>
      </c>
      <c r="BH28" s="697">
        <f t="shared" si="5"/>
        <v>0</v>
      </c>
      <c r="BI28" s="697">
        <f t="shared" si="5"/>
        <v>0</v>
      </c>
      <c r="BJ28" s="697">
        <f t="shared" si="5"/>
        <v>0</v>
      </c>
      <c r="BK28" s="690"/>
    </row>
    <row r="29" spans="1:64" ht="45.75" customHeight="1" x14ac:dyDescent="0.25">
      <c r="A29" s="696" t="s">
        <v>2190</v>
      </c>
      <c r="B29" s="934"/>
      <c r="C29" s="697">
        <v>0</v>
      </c>
      <c r="D29" s="697">
        <v>0</v>
      </c>
      <c r="E29" s="697">
        <v>0</v>
      </c>
      <c r="F29" s="697">
        <v>0</v>
      </c>
      <c r="G29" s="697">
        <v>0</v>
      </c>
      <c r="H29" s="697">
        <v>0</v>
      </c>
      <c r="I29" s="697">
        <v>0</v>
      </c>
      <c r="J29" s="697">
        <v>0</v>
      </c>
      <c r="K29" s="697">
        <v>0</v>
      </c>
      <c r="L29" s="697">
        <v>0</v>
      </c>
      <c r="M29" s="697">
        <v>0</v>
      </c>
      <c r="N29" s="697">
        <v>0</v>
      </c>
      <c r="O29" s="697">
        <v>0</v>
      </c>
      <c r="P29" s="697">
        <v>0</v>
      </c>
      <c r="Q29" s="697">
        <v>0</v>
      </c>
      <c r="R29" s="697">
        <v>0</v>
      </c>
      <c r="S29" s="697">
        <v>0</v>
      </c>
      <c r="T29" s="697">
        <v>0</v>
      </c>
      <c r="U29" s="697">
        <v>0</v>
      </c>
      <c r="V29" s="697">
        <v>0</v>
      </c>
      <c r="W29" s="697">
        <v>0</v>
      </c>
      <c r="X29" s="697">
        <v>0</v>
      </c>
      <c r="Y29" s="697">
        <v>0</v>
      </c>
      <c r="Z29" s="697">
        <v>0</v>
      </c>
      <c r="AA29" s="697">
        <v>0</v>
      </c>
      <c r="AB29" s="697">
        <v>0</v>
      </c>
      <c r="AC29" s="697">
        <v>0</v>
      </c>
      <c r="AD29" s="697">
        <v>0</v>
      </c>
      <c r="AE29" s="697">
        <v>0</v>
      </c>
      <c r="AF29" s="697">
        <v>0</v>
      </c>
      <c r="AG29" s="697">
        <v>0</v>
      </c>
      <c r="AH29" s="697">
        <v>0</v>
      </c>
      <c r="AI29" s="697">
        <v>0</v>
      </c>
      <c r="AJ29" s="697">
        <v>0</v>
      </c>
      <c r="AK29" s="697">
        <v>0</v>
      </c>
      <c r="AL29" s="697">
        <v>0</v>
      </c>
      <c r="AM29" s="697">
        <v>0</v>
      </c>
      <c r="AN29" s="697">
        <v>0</v>
      </c>
      <c r="AO29" s="697">
        <v>0</v>
      </c>
      <c r="AP29" s="697">
        <v>0</v>
      </c>
      <c r="AQ29" s="697">
        <v>0</v>
      </c>
      <c r="AR29" s="697">
        <v>0</v>
      </c>
      <c r="AS29" s="697">
        <v>0</v>
      </c>
      <c r="AT29" s="697">
        <v>0</v>
      </c>
      <c r="AU29" s="697">
        <v>0</v>
      </c>
      <c r="AV29" s="697">
        <v>0</v>
      </c>
      <c r="AW29" s="697">
        <v>0</v>
      </c>
      <c r="AX29" s="697">
        <v>0</v>
      </c>
      <c r="AY29" s="697">
        <v>0</v>
      </c>
      <c r="AZ29" s="697">
        <v>0</v>
      </c>
      <c r="BA29" s="697">
        <v>0</v>
      </c>
      <c r="BB29" s="697">
        <v>0</v>
      </c>
      <c r="BC29" s="697">
        <v>0</v>
      </c>
      <c r="BD29" s="697">
        <v>0</v>
      </c>
      <c r="BE29" s="697">
        <v>0</v>
      </c>
      <c r="BF29" s="697">
        <v>0</v>
      </c>
      <c r="BG29" s="697">
        <f t="shared" si="5"/>
        <v>0</v>
      </c>
      <c r="BH29" s="697">
        <f t="shared" si="5"/>
        <v>0</v>
      </c>
      <c r="BI29" s="697">
        <f t="shared" si="5"/>
        <v>0</v>
      </c>
      <c r="BJ29" s="697">
        <f t="shared" si="5"/>
        <v>0</v>
      </c>
      <c r="BK29" s="690"/>
    </row>
    <row r="30" spans="1:64" ht="45.75" customHeight="1" x14ac:dyDescent="0.25">
      <c r="A30" s="696" t="s">
        <v>2191</v>
      </c>
      <c r="B30" s="934"/>
      <c r="C30" s="697">
        <v>0</v>
      </c>
      <c r="D30" s="697">
        <v>0</v>
      </c>
      <c r="E30" s="697">
        <v>0</v>
      </c>
      <c r="F30" s="697">
        <v>0</v>
      </c>
      <c r="G30" s="697">
        <v>0</v>
      </c>
      <c r="H30" s="697">
        <v>0</v>
      </c>
      <c r="I30" s="697">
        <v>0</v>
      </c>
      <c r="J30" s="697">
        <v>0</v>
      </c>
      <c r="K30" s="697">
        <v>0</v>
      </c>
      <c r="L30" s="697">
        <v>0</v>
      </c>
      <c r="M30" s="697">
        <v>0</v>
      </c>
      <c r="N30" s="697">
        <v>0</v>
      </c>
      <c r="O30" s="697">
        <v>0</v>
      </c>
      <c r="P30" s="697">
        <v>0</v>
      </c>
      <c r="Q30" s="697">
        <v>0</v>
      </c>
      <c r="R30" s="697">
        <v>0</v>
      </c>
      <c r="S30" s="697">
        <v>0</v>
      </c>
      <c r="T30" s="697">
        <v>0</v>
      </c>
      <c r="U30" s="697">
        <v>0</v>
      </c>
      <c r="V30" s="697">
        <v>0</v>
      </c>
      <c r="W30" s="697">
        <v>0</v>
      </c>
      <c r="X30" s="697">
        <v>0</v>
      </c>
      <c r="Y30" s="697">
        <v>0</v>
      </c>
      <c r="Z30" s="697">
        <v>0</v>
      </c>
      <c r="AA30" s="697">
        <v>0</v>
      </c>
      <c r="AB30" s="697">
        <v>0</v>
      </c>
      <c r="AC30" s="697">
        <v>0</v>
      </c>
      <c r="AD30" s="697">
        <v>0</v>
      </c>
      <c r="AE30" s="697">
        <v>0</v>
      </c>
      <c r="AF30" s="697">
        <v>0</v>
      </c>
      <c r="AG30" s="697">
        <v>0</v>
      </c>
      <c r="AH30" s="697">
        <v>0</v>
      </c>
      <c r="AI30" s="697">
        <v>0</v>
      </c>
      <c r="AJ30" s="697">
        <v>0</v>
      </c>
      <c r="AK30" s="697">
        <v>0</v>
      </c>
      <c r="AL30" s="697">
        <v>0</v>
      </c>
      <c r="AM30" s="697">
        <v>0</v>
      </c>
      <c r="AN30" s="697">
        <v>0</v>
      </c>
      <c r="AO30" s="697">
        <v>0</v>
      </c>
      <c r="AP30" s="697">
        <v>0</v>
      </c>
      <c r="AQ30" s="697">
        <v>0</v>
      </c>
      <c r="AR30" s="697">
        <v>0</v>
      </c>
      <c r="AS30" s="697">
        <v>0</v>
      </c>
      <c r="AT30" s="697">
        <v>0</v>
      </c>
      <c r="AU30" s="697">
        <v>0</v>
      </c>
      <c r="AV30" s="697">
        <v>0</v>
      </c>
      <c r="AW30" s="697">
        <v>0</v>
      </c>
      <c r="AX30" s="697">
        <v>0</v>
      </c>
      <c r="AY30" s="697">
        <v>0</v>
      </c>
      <c r="AZ30" s="697">
        <v>0</v>
      </c>
      <c r="BA30" s="697">
        <v>0</v>
      </c>
      <c r="BB30" s="697">
        <v>0</v>
      </c>
      <c r="BC30" s="697">
        <v>0</v>
      </c>
      <c r="BD30" s="697">
        <v>0</v>
      </c>
      <c r="BE30" s="697">
        <v>0</v>
      </c>
      <c r="BF30" s="697">
        <v>0</v>
      </c>
      <c r="BG30" s="697">
        <f t="shared" si="5"/>
        <v>0</v>
      </c>
      <c r="BH30" s="697">
        <f t="shared" si="5"/>
        <v>0</v>
      </c>
      <c r="BI30" s="697">
        <f t="shared" si="5"/>
        <v>0</v>
      </c>
      <c r="BJ30" s="697">
        <f t="shared" si="5"/>
        <v>0</v>
      </c>
      <c r="BK30" s="690"/>
    </row>
    <row r="31" spans="1:64" ht="45.75" customHeight="1" x14ac:dyDescent="0.25">
      <c r="A31" s="698" t="s">
        <v>2192</v>
      </c>
      <c r="B31" s="934"/>
      <c r="C31" s="699">
        <v>204838040.77777776</v>
      </c>
      <c r="D31" s="699">
        <v>180559144.22222221</v>
      </c>
      <c r="E31" s="699">
        <v>178163544.56888887</v>
      </c>
      <c r="F31" s="699">
        <v>150341219.90222219</v>
      </c>
      <c r="G31" s="700">
        <v>0</v>
      </c>
      <c r="H31" s="700">
        <v>0</v>
      </c>
      <c r="I31" s="700">
        <v>0</v>
      </c>
      <c r="J31" s="700">
        <v>0</v>
      </c>
      <c r="K31" s="700">
        <v>0</v>
      </c>
      <c r="L31" s="700">
        <v>0</v>
      </c>
      <c r="M31" s="700">
        <v>0</v>
      </c>
      <c r="N31" s="700">
        <v>0</v>
      </c>
      <c r="O31" s="700">
        <v>0</v>
      </c>
      <c r="P31" s="700">
        <v>0</v>
      </c>
      <c r="Q31" s="700">
        <v>0</v>
      </c>
      <c r="R31" s="700">
        <v>0</v>
      </c>
      <c r="S31" s="699">
        <v>61983892.048888892</v>
      </c>
      <c r="T31" s="699">
        <v>58782716.159999996</v>
      </c>
      <c r="U31" s="699">
        <v>58782716.159999996</v>
      </c>
      <c r="V31" s="699">
        <v>58782716.159999996</v>
      </c>
      <c r="W31" s="700">
        <v>0</v>
      </c>
      <c r="X31" s="700">
        <v>0</v>
      </c>
      <c r="Y31" s="700">
        <v>0</v>
      </c>
      <c r="Z31" s="700">
        <v>0</v>
      </c>
      <c r="AA31" s="699">
        <v>104444444.44444443</v>
      </c>
      <c r="AB31" s="699">
        <v>20675234.444444444</v>
      </c>
      <c r="AC31" s="699">
        <v>20675234.444444444</v>
      </c>
      <c r="AD31" s="699">
        <v>20675234.444444444</v>
      </c>
      <c r="AE31" s="700">
        <v>0</v>
      </c>
      <c r="AF31" s="700">
        <v>0</v>
      </c>
      <c r="AG31" s="700">
        <v>0</v>
      </c>
      <c r="AH31" s="700">
        <v>0</v>
      </c>
      <c r="AI31" s="700">
        <v>0</v>
      </c>
      <c r="AJ31" s="700">
        <v>0</v>
      </c>
      <c r="AK31" s="700">
        <v>0</v>
      </c>
      <c r="AL31" s="700">
        <v>0</v>
      </c>
      <c r="AM31" s="700">
        <v>0</v>
      </c>
      <c r="AN31" s="700">
        <v>0</v>
      </c>
      <c r="AO31" s="700">
        <v>0</v>
      </c>
      <c r="AP31" s="700">
        <v>0</v>
      </c>
      <c r="AQ31" s="700">
        <v>0</v>
      </c>
      <c r="AR31" s="700">
        <v>0</v>
      </c>
      <c r="AS31" s="700">
        <v>0</v>
      </c>
      <c r="AT31" s="700">
        <v>0</v>
      </c>
      <c r="AU31" s="700">
        <v>0</v>
      </c>
      <c r="AV31" s="700">
        <v>0</v>
      </c>
      <c r="AW31" s="700">
        <v>0</v>
      </c>
      <c r="AX31" s="700">
        <v>0</v>
      </c>
      <c r="AY31" s="699">
        <v>17792757.368888889</v>
      </c>
      <c r="AZ31" s="699">
        <v>17777777.777777776</v>
      </c>
      <c r="BA31" s="699">
        <v>17777777.777777776</v>
      </c>
      <c r="BB31" s="699">
        <v>17777777.777777776</v>
      </c>
      <c r="BC31" s="700">
        <v>0</v>
      </c>
      <c r="BD31" s="700">
        <v>0</v>
      </c>
      <c r="BE31" s="700">
        <v>0</v>
      </c>
      <c r="BF31" s="700">
        <v>0</v>
      </c>
      <c r="BG31" s="699">
        <f t="shared" si="5"/>
        <v>389059134.63999999</v>
      </c>
      <c r="BH31" s="699">
        <f t="shared" si="5"/>
        <v>277794872.60444444</v>
      </c>
      <c r="BI31" s="699">
        <f t="shared" si="5"/>
        <v>275399272.95111108</v>
      </c>
      <c r="BJ31" s="699">
        <f t="shared" si="5"/>
        <v>247576948.28444439</v>
      </c>
      <c r="BK31" s="690"/>
    </row>
    <row r="32" spans="1:64" ht="45.75" customHeight="1" x14ac:dyDescent="0.25">
      <c r="A32" s="696" t="s">
        <v>2193</v>
      </c>
      <c r="B32" s="934"/>
      <c r="C32" s="697">
        <v>0</v>
      </c>
      <c r="D32" s="697">
        <v>0</v>
      </c>
      <c r="E32" s="697">
        <v>0</v>
      </c>
      <c r="F32" s="697">
        <v>0</v>
      </c>
      <c r="G32" s="697">
        <v>0</v>
      </c>
      <c r="H32" s="697">
        <v>0</v>
      </c>
      <c r="I32" s="697">
        <v>0</v>
      </c>
      <c r="J32" s="697">
        <v>0</v>
      </c>
      <c r="K32" s="697">
        <v>0</v>
      </c>
      <c r="L32" s="697">
        <v>0</v>
      </c>
      <c r="M32" s="697">
        <v>0</v>
      </c>
      <c r="N32" s="697">
        <v>0</v>
      </c>
      <c r="O32" s="697">
        <v>0</v>
      </c>
      <c r="P32" s="697">
        <v>0</v>
      </c>
      <c r="Q32" s="697">
        <v>0</v>
      </c>
      <c r="R32" s="697">
        <v>0</v>
      </c>
      <c r="S32" s="697">
        <v>0</v>
      </c>
      <c r="T32" s="697">
        <v>0</v>
      </c>
      <c r="U32" s="697">
        <v>0</v>
      </c>
      <c r="V32" s="697">
        <v>0</v>
      </c>
      <c r="W32" s="697">
        <v>0</v>
      </c>
      <c r="X32" s="697">
        <v>0</v>
      </c>
      <c r="Y32" s="697">
        <v>0</v>
      </c>
      <c r="Z32" s="697">
        <v>0</v>
      </c>
      <c r="AA32" s="697">
        <v>0</v>
      </c>
      <c r="AB32" s="697">
        <v>0</v>
      </c>
      <c r="AC32" s="697">
        <v>0</v>
      </c>
      <c r="AD32" s="697">
        <v>0</v>
      </c>
      <c r="AE32" s="697">
        <v>0</v>
      </c>
      <c r="AF32" s="697">
        <v>0</v>
      </c>
      <c r="AG32" s="697">
        <v>0</v>
      </c>
      <c r="AH32" s="697">
        <v>0</v>
      </c>
      <c r="AI32" s="697">
        <v>0</v>
      </c>
      <c r="AJ32" s="697">
        <v>0</v>
      </c>
      <c r="AK32" s="697">
        <v>0</v>
      </c>
      <c r="AL32" s="697">
        <v>0</v>
      </c>
      <c r="AM32" s="697">
        <v>0</v>
      </c>
      <c r="AN32" s="697">
        <v>0</v>
      </c>
      <c r="AO32" s="697">
        <v>0</v>
      </c>
      <c r="AP32" s="697">
        <v>0</v>
      </c>
      <c r="AQ32" s="697">
        <v>0</v>
      </c>
      <c r="AR32" s="697">
        <v>0</v>
      </c>
      <c r="AS32" s="697">
        <v>0</v>
      </c>
      <c r="AT32" s="697">
        <v>0</v>
      </c>
      <c r="AU32" s="697">
        <v>0</v>
      </c>
      <c r="AV32" s="697">
        <v>0</v>
      </c>
      <c r="AW32" s="697">
        <v>0</v>
      </c>
      <c r="AX32" s="697">
        <v>0</v>
      </c>
      <c r="AY32" s="697">
        <v>0</v>
      </c>
      <c r="AZ32" s="697">
        <v>0</v>
      </c>
      <c r="BA32" s="697">
        <v>0</v>
      </c>
      <c r="BB32" s="697">
        <v>0</v>
      </c>
      <c r="BC32" s="697">
        <v>0</v>
      </c>
      <c r="BD32" s="697">
        <v>0</v>
      </c>
      <c r="BE32" s="697">
        <v>0</v>
      </c>
      <c r="BF32" s="697">
        <v>0</v>
      </c>
      <c r="BG32" s="697">
        <f t="shared" si="5"/>
        <v>0</v>
      </c>
      <c r="BH32" s="697">
        <f t="shared" si="5"/>
        <v>0</v>
      </c>
      <c r="BI32" s="697">
        <f t="shared" si="5"/>
        <v>0</v>
      </c>
      <c r="BJ32" s="697">
        <f t="shared" si="5"/>
        <v>0</v>
      </c>
      <c r="BK32" s="690"/>
    </row>
    <row r="33" spans="1:64" ht="45.75" customHeight="1" x14ac:dyDescent="0.25">
      <c r="A33" s="696" t="s">
        <v>2194</v>
      </c>
      <c r="B33" s="934"/>
      <c r="C33" s="697">
        <v>0</v>
      </c>
      <c r="D33" s="697">
        <v>0</v>
      </c>
      <c r="E33" s="697">
        <v>0</v>
      </c>
      <c r="F33" s="697">
        <v>0</v>
      </c>
      <c r="G33" s="697">
        <v>0</v>
      </c>
      <c r="H33" s="697">
        <v>0</v>
      </c>
      <c r="I33" s="697">
        <v>0</v>
      </c>
      <c r="J33" s="697">
        <v>0</v>
      </c>
      <c r="K33" s="697">
        <v>0</v>
      </c>
      <c r="L33" s="697">
        <v>0</v>
      </c>
      <c r="M33" s="697">
        <v>0</v>
      </c>
      <c r="N33" s="697">
        <v>0</v>
      </c>
      <c r="O33" s="697">
        <v>0</v>
      </c>
      <c r="P33" s="697">
        <v>0</v>
      </c>
      <c r="Q33" s="697">
        <v>0</v>
      </c>
      <c r="R33" s="697">
        <v>0</v>
      </c>
      <c r="S33" s="697">
        <v>0</v>
      </c>
      <c r="T33" s="697">
        <v>0</v>
      </c>
      <c r="U33" s="697">
        <v>0</v>
      </c>
      <c r="V33" s="697">
        <v>0</v>
      </c>
      <c r="W33" s="697">
        <v>0</v>
      </c>
      <c r="X33" s="697">
        <v>0</v>
      </c>
      <c r="Y33" s="697">
        <v>0</v>
      </c>
      <c r="Z33" s="697">
        <v>0</v>
      </c>
      <c r="AA33" s="697">
        <v>0</v>
      </c>
      <c r="AB33" s="697">
        <v>0</v>
      </c>
      <c r="AC33" s="697">
        <v>0</v>
      </c>
      <c r="AD33" s="697">
        <v>0</v>
      </c>
      <c r="AE33" s="697">
        <v>0</v>
      </c>
      <c r="AF33" s="697">
        <v>0</v>
      </c>
      <c r="AG33" s="697">
        <v>0</v>
      </c>
      <c r="AH33" s="697">
        <v>0</v>
      </c>
      <c r="AI33" s="697">
        <v>0</v>
      </c>
      <c r="AJ33" s="697">
        <v>0</v>
      </c>
      <c r="AK33" s="697">
        <v>0</v>
      </c>
      <c r="AL33" s="697">
        <v>0</v>
      </c>
      <c r="AM33" s="697">
        <v>0</v>
      </c>
      <c r="AN33" s="697">
        <v>0</v>
      </c>
      <c r="AO33" s="697">
        <v>0</v>
      </c>
      <c r="AP33" s="697">
        <v>0</v>
      </c>
      <c r="AQ33" s="697">
        <v>0</v>
      </c>
      <c r="AR33" s="697">
        <v>0</v>
      </c>
      <c r="AS33" s="697">
        <v>0</v>
      </c>
      <c r="AT33" s="697">
        <v>0</v>
      </c>
      <c r="AU33" s="697">
        <v>0</v>
      </c>
      <c r="AV33" s="697">
        <v>0</v>
      </c>
      <c r="AW33" s="697">
        <v>0</v>
      </c>
      <c r="AX33" s="697">
        <v>0</v>
      </c>
      <c r="AY33" s="697">
        <v>0</v>
      </c>
      <c r="AZ33" s="697">
        <v>0</v>
      </c>
      <c r="BA33" s="697">
        <v>0</v>
      </c>
      <c r="BB33" s="697">
        <v>0</v>
      </c>
      <c r="BC33" s="697">
        <v>0</v>
      </c>
      <c r="BD33" s="697">
        <v>0</v>
      </c>
      <c r="BE33" s="697">
        <v>0</v>
      </c>
      <c r="BF33" s="697">
        <v>0</v>
      </c>
      <c r="BG33" s="697">
        <f t="shared" si="5"/>
        <v>0</v>
      </c>
      <c r="BH33" s="697">
        <f t="shared" si="5"/>
        <v>0</v>
      </c>
      <c r="BI33" s="697">
        <f t="shared" si="5"/>
        <v>0</v>
      </c>
      <c r="BJ33" s="697">
        <f t="shared" si="5"/>
        <v>0</v>
      </c>
      <c r="BK33" s="690"/>
    </row>
    <row r="34" spans="1:64" ht="45.75" customHeight="1" x14ac:dyDescent="0.25">
      <c r="A34" s="698" t="s">
        <v>2195</v>
      </c>
      <c r="B34" s="934"/>
      <c r="C34" s="699">
        <v>204838040.77777776</v>
      </c>
      <c r="D34" s="699">
        <v>180559144.22222221</v>
      </c>
      <c r="E34" s="699">
        <v>178163544.56888887</v>
      </c>
      <c r="F34" s="699">
        <v>150341219.90222219</v>
      </c>
      <c r="G34" s="700">
        <v>0</v>
      </c>
      <c r="H34" s="700">
        <v>0</v>
      </c>
      <c r="I34" s="700">
        <v>0</v>
      </c>
      <c r="J34" s="700">
        <v>0</v>
      </c>
      <c r="K34" s="700">
        <v>0</v>
      </c>
      <c r="L34" s="700">
        <v>0</v>
      </c>
      <c r="M34" s="700">
        <v>0</v>
      </c>
      <c r="N34" s="700">
        <v>0</v>
      </c>
      <c r="O34" s="700">
        <v>0</v>
      </c>
      <c r="P34" s="700">
        <v>0</v>
      </c>
      <c r="Q34" s="700">
        <v>0</v>
      </c>
      <c r="R34" s="700">
        <v>0</v>
      </c>
      <c r="S34" s="699">
        <v>61983892.048888892</v>
      </c>
      <c r="T34" s="699">
        <v>58782716.159999996</v>
      </c>
      <c r="U34" s="699">
        <v>58782716.159999996</v>
      </c>
      <c r="V34" s="699">
        <v>58782716.159999996</v>
      </c>
      <c r="W34" s="700">
        <v>0</v>
      </c>
      <c r="X34" s="700">
        <v>0</v>
      </c>
      <c r="Y34" s="700">
        <v>0</v>
      </c>
      <c r="Z34" s="700">
        <v>0</v>
      </c>
      <c r="AA34" s="699">
        <v>104444444.44444443</v>
      </c>
      <c r="AB34" s="699">
        <v>20675234.444444444</v>
      </c>
      <c r="AC34" s="699">
        <v>20675234.444444444</v>
      </c>
      <c r="AD34" s="699">
        <v>20675234.444444444</v>
      </c>
      <c r="AE34" s="700">
        <v>0</v>
      </c>
      <c r="AF34" s="700">
        <v>0</v>
      </c>
      <c r="AG34" s="700">
        <v>0</v>
      </c>
      <c r="AH34" s="700">
        <v>0</v>
      </c>
      <c r="AI34" s="700">
        <v>0</v>
      </c>
      <c r="AJ34" s="700">
        <v>0</v>
      </c>
      <c r="AK34" s="700">
        <v>0</v>
      </c>
      <c r="AL34" s="700">
        <v>0</v>
      </c>
      <c r="AM34" s="700">
        <v>0</v>
      </c>
      <c r="AN34" s="700">
        <v>0</v>
      </c>
      <c r="AO34" s="700">
        <v>0</v>
      </c>
      <c r="AP34" s="700">
        <v>0</v>
      </c>
      <c r="AQ34" s="700">
        <v>0</v>
      </c>
      <c r="AR34" s="700">
        <v>0</v>
      </c>
      <c r="AS34" s="700">
        <v>0</v>
      </c>
      <c r="AT34" s="700">
        <v>0</v>
      </c>
      <c r="AU34" s="700">
        <v>0</v>
      </c>
      <c r="AV34" s="700">
        <v>0</v>
      </c>
      <c r="AW34" s="700">
        <v>0</v>
      </c>
      <c r="AX34" s="700">
        <v>0</v>
      </c>
      <c r="AY34" s="699">
        <v>17792757.368888889</v>
      </c>
      <c r="AZ34" s="699">
        <v>17777777.777777776</v>
      </c>
      <c r="BA34" s="699">
        <v>17777777.777777776</v>
      </c>
      <c r="BB34" s="699">
        <v>17777777.777777776</v>
      </c>
      <c r="BC34" s="700">
        <v>0</v>
      </c>
      <c r="BD34" s="700">
        <v>0</v>
      </c>
      <c r="BE34" s="700">
        <v>0</v>
      </c>
      <c r="BF34" s="700">
        <v>0</v>
      </c>
      <c r="BG34" s="699">
        <f t="shared" si="5"/>
        <v>389059134.63999999</v>
      </c>
      <c r="BH34" s="699">
        <f t="shared" si="5"/>
        <v>277794872.60444444</v>
      </c>
      <c r="BI34" s="699">
        <f t="shared" si="5"/>
        <v>275399272.95111108</v>
      </c>
      <c r="BJ34" s="699">
        <f t="shared" si="5"/>
        <v>247576948.28444439</v>
      </c>
      <c r="BK34" s="690"/>
    </row>
    <row r="35" spans="1:64" ht="45.75" customHeight="1" x14ac:dyDescent="0.25">
      <c r="A35" s="698" t="s">
        <v>2196</v>
      </c>
      <c r="B35" s="934"/>
      <c r="C35" s="699">
        <v>204838040.77777776</v>
      </c>
      <c r="D35" s="699">
        <v>180559144.22222221</v>
      </c>
      <c r="E35" s="699">
        <v>178163544.56888887</v>
      </c>
      <c r="F35" s="699">
        <v>150341219.90222219</v>
      </c>
      <c r="G35" s="700">
        <v>0</v>
      </c>
      <c r="H35" s="700">
        <v>0</v>
      </c>
      <c r="I35" s="700">
        <v>0</v>
      </c>
      <c r="J35" s="700">
        <v>0</v>
      </c>
      <c r="K35" s="700">
        <v>0</v>
      </c>
      <c r="L35" s="700">
        <v>0</v>
      </c>
      <c r="M35" s="700">
        <v>0</v>
      </c>
      <c r="N35" s="700">
        <v>0</v>
      </c>
      <c r="O35" s="700">
        <v>0</v>
      </c>
      <c r="P35" s="700">
        <v>0</v>
      </c>
      <c r="Q35" s="700">
        <v>0</v>
      </c>
      <c r="R35" s="700">
        <v>0</v>
      </c>
      <c r="S35" s="699">
        <v>61983892.048888892</v>
      </c>
      <c r="T35" s="699">
        <v>58782716.159999996</v>
      </c>
      <c r="U35" s="699">
        <v>58782716.159999996</v>
      </c>
      <c r="V35" s="699">
        <v>58782716.159999996</v>
      </c>
      <c r="W35" s="700">
        <v>0</v>
      </c>
      <c r="X35" s="700">
        <v>0</v>
      </c>
      <c r="Y35" s="700">
        <v>0</v>
      </c>
      <c r="Z35" s="700">
        <v>0</v>
      </c>
      <c r="AA35" s="699">
        <v>104444444.44444443</v>
      </c>
      <c r="AB35" s="699">
        <v>20675234.444444444</v>
      </c>
      <c r="AC35" s="699">
        <v>20675234.444444444</v>
      </c>
      <c r="AD35" s="699">
        <v>20675234.444444444</v>
      </c>
      <c r="AE35" s="700">
        <v>0</v>
      </c>
      <c r="AF35" s="700">
        <v>0</v>
      </c>
      <c r="AG35" s="700">
        <v>0</v>
      </c>
      <c r="AH35" s="700">
        <v>0</v>
      </c>
      <c r="AI35" s="700">
        <v>0</v>
      </c>
      <c r="AJ35" s="700">
        <v>0</v>
      </c>
      <c r="AK35" s="700">
        <v>0</v>
      </c>
      <c r="AL35" s="700">
        <v>0</v>
      </c>
      <c r="AM35" s="700">
        <v>0</v>
      </c>
      <c r="AN35" s="700">
        <v>0</v>
      </c>
      <c r="AO35" s="700">
        <v>0</v>
      </c>
      <c r="AP35" s="700">
        <v>0</v>
      </c>
      <c r="AQ35" s="700">
        <v>0</v>
      </c>
      <c r="AR35" s="700">
        <v>0</v>
      </c>
      <c r="AS35" s="700">
        <v>0</v>
      </c>
      <c r="AT35" s="700">
        <v>0</v>
      </c>
      <c r="AU35" s="700">
        <v>0</v>
      </c>
      <c r="AV35" s="700">
        <v>0</v>
      </c>
      <c r="AW35" s="700">
        <v>0</v>
      </c>
      <c r="AX35" s="700">
        <v>0</v>
      </c>
      <c r="AY35" s="699">
        <v>17792757.368888889</v>
      </c>
      <c r="AZ35" s="699">
        <v>17777777.777777776</v>
      </c>
      <c r="BA35" s="699">
        <v>17777777.777777776</v>
      </c>
      <c r="BB35" s="699">
        <v>17777777.777777776</v>
      </c>
      <c r="BC35" s="700">
        <v>0</v>
      </c>
      <c r="BD35" s="700">
        <v>0</v>
      </c>
      <c r="BE35" s="700">
        <v>0</v>
      </c>
      <c r="BF35" s="700">
        <v>0</v>
      </c>
      <c r="BG35" s="699">
        <f t="shared" si="5"/>
        <v>389059134.63999999</v>
      </c>
      <c r="BH35" s="699">
        <f t="shared" si="5"/>
        <v>277794872.60444444</v>
      </c>
      <c r="BI35" s="699">
        <f t="shared" si="5"/>
        <v>275399272.95111108</v>
      </c>
      <c r="BJ35" s="699">
        <f t="shared" si="5"/>
        <v>247576948.28444439</v>
      </c>
      <c r="BK35" s="690"/>
    </row>
    <row r="36" spans="1:64" ht="45.75" customHeight="1" x14ac:dyDescent="0.25">
      <c r="A36" s="698" t="s">
        <v>2197</v>
      </c>
      <c r="B36" s="934"/>
      <c r="C36" s="699">
        <v>204838040.77777776</v>
      </c>
      <c r="D36" s="699">
        <v>180559144.22222221</v>
      </c>
      <c r="E36" s="699">
        <v>178163544.56888887</v>
      </c>
      <c r="F36" s="699">
        <v>150341219.90222219</v>
      </c>
      <c r="G36" s="700">
        <v>0</v>
      </c>
      <c r="H36" s="700">
        <v>0</v>
      </c>
      <c r="I36" s="700">
        <v>0</v>
      </c>
      <c r="J36" s="700">
        <v>0</v>
      </c>
      <c r="K36" s="700">
        <v>0</v>
      </c>
      <c r="L36" s="700">
        <v>0</v>
      </c>
      <c r="M36" s="700">
        <v>0</v>
      </c>
      <c r="N36" s="700">
        <v>0</v>
      </c>
      <c r="O36" s="700">
        <v>0</v>
      </c>
      <c r="P36" s="700">
        <v>0</v>
      </c>
      <c r="Q36" s="700">
        <v>0</v>
      </c>
      <c r="R36" s="700">
        <v>0</v>
      </c>
      <c r="S36" s="699">
        <v>61983892.048888892</v>
      </c>
      <c r="T36" s="699">
        <v>58782716.159999996</v>
      </c>
      <c r="U36" s="699">
        <v>58782716.159999996</v>
      </c>
      <c r="V36" s="699">
        <v>58782716.159999996</v>
      </c>
      <c r="W36" s="700">
        <v>0</v>
      </c>
      <c r="X36" s="700">
        <v>0</v>
      </c>
      <c r="Y36" s="700">
        <v>0</v>
      </c>
      <c r="Z36" s="700">
        <v>0</v>
      </c>
      <c r="AA36" s="699">
        <v>104444444.44444443</v>
      </c>
      <c r="AB36" s="699">
        <v>20675234.444444444</v>
      </c>
      <c r="AC36" s="699">
        <v>20675234.444444444</v>
      </c>
      <c r="AD36" s="699">
        <v>20675234.444444444</v>
      </c>
      <c r="AE36" s="700">
        <v>0</v>
      </c>
      <c r="AF36" s="700">
        <v>0</v>
      </c>
      <c r="AG36" s="700">
        <v>0</v>
      </c>
      <c r="AH36" s="700">
        <v>0</v>
      </c>
      <c r="AI36" s="700">
        <v>0</v>
      </c>
      <c r="AJ36" s="700">
        <v>0</v>
      </c>
      <c r="AK36" s="700">
        <v>0</v>
      </c>
      <c r="AL36" s="700">
        <v>0</v>
      </c>
      <c r="AM36" s="700">
        <v>0</v>
      </c>
      <c r="AN36" s="700">
        <v>0</v>
      </c>
      <c r="AO36" s="700">
        <v>0</v>
      </c>
      <c r="AP36" s="700">
        <v>0</v>
      </c>
      <c r="AQ36" s="700">
        <v>0</v>
      </c>
      <c r="AR36" s="700">
        <v>0</v>
      </c>
      <c r="AS36" s="700">
        <v>0</v>
      </c>
      <c r="AT36" s="700">
        <v>0</v>
      </c>
      <c r="AU36" s="700">
        <v>0</v>
      </c>
      <c r="AV36" s="700">
        <v>0</v>
      </c>
      <c r="AW36" s="700">
        <v>0</v>
      </c>
      <c r="AX36" s="700">
        <v>0</v>
      </c>
      <c r="AY36" s="699">
        <v>17792757.368888889</v>
      </c>
      <c r="AZ36" s="699">
        <v>17777777.777777776</v>
      </c>
      <c r="BA36" s="699">
        <v>17777777.777777776</v>
      </c>
      <c r="BB36" s="699">
        <v>17777777.777777776</v>
      </c>
      <c r="BC36" s="700">
        <v>0</v>
      </c>
      <c r="BD36" s="700">
        <v>0</v>
      </c>
      <c r="BE36" s="700">
        <v>0</v>
      </c>
      <c r="BF36" s="700">
        <v>0</v>
      </c>
      <c r="BG36" s="699">
        <f t="shared" si="5"/>
        <v>389059134.63999999</v>
      </c>
      <c r="BH36" s="699">
        <f t="shared" si="5"/>
        <v>277794872.60444444</v>
      </c>
      <c r="BI36" s="699">
        <f t="shared" si="5"/>
        <v>275399272.95111108</v>
      </c>
      <c r="BJ36" s="699">
        <f t="shared" si="5"/>
        <v>247576948.28444439</v>
      </c>
      <c r="BK36" s="690"/>
    </row>
    <row r="37" spans="1:64" ht="45.75" customHeight="1" x14ac:dyDescent="0.25">
      <c r="A37" s="698" t="s">
        <v>2198</v>
      </c>
      <c r="B37" s="934"/>
      <c r="C37" s="699">
        <v>204838040.77777776</v>
      </c>
      <c r="D37" s="699">
        <v>180559144.22222221</v>
      </c>
      <c r="E37" s="699">
        <v>178163544.56888887</v>
      </c>
      <c r="F37" s="699">
        <v>150341219.90222219</v>
      </c>
      <c r="G37" s="700">
        <v>0</v>
      </c>
      <c r="H37" s="700">
        <v>0</v>
      </c>
      <c r="I37" s="700">
        <v>0</v>
      </c>
      <c r="J37" s="700">
        <v>0</v>
      </c>
      <c r="K37" s="700">
        <v>0</v>
      </c>
      <c r="L37" s="700">
        <v>0</v>
      </c>
      <c r="M37" s="700">
        <v>0</v>
      </c>
      <c r="N37" s="700">
        <v>0</v>
      </c>
      <c r="O37" s="700">
        <v>0</v>
      </c>
      <c r="P37" s="700">
        <v>0</v>
      </c>
      <c r="Q37" s="700">
        <v>0</v>
      </c>
      <c r="R37" s="700">
        <v>0</v>
      </c>
      <c r="S37" s="699">
        <v>61983892.048888892</v>
      </c>
      <c r="T37" s="699">
        <v>58782716.159999996</v>
      </c>
      <c r="U37" s="699">
        <v>58782716.159999996</v>
      </c>
      <c r="V37" s="699">
        <v>58782716.159999996</v>
      </c>
      <c r="W37" s="700">
        <v>0</v>
      </c>
      <c r="X37" s="700">
        <v>0</v>
      </c>
      <c r="Y37" s="700">
        <v>0</v>
      </c>
      <c r="Z37" s="700">
        <v>0</v>
      </c>
      <c r="AA37" s="699">
        <v>104444444.44444443</v>
      </c>
      <c r="AB37" s="699">
        <v>20675234.444444444</v>
      </c>
      <c r="AC37" s="699">
        <v>20675234.444444444</v>
      </c>
      <c r="AD37" s="699">
        <v>20675234.444444444</v>
      </c>
      <c r="AE37" s="700">
        <v>0</v>
      </c>
      <c r="AF37" s="700">
        <v>0</v>
      </c>
      <c r="AG37" s="700">
        <v>0</v>
      </c>
      <c r="AH37" s="700">
        <v>0</v>
      </c>
      <c r="AI37" s="700">
        <v>0</v>
      </c>
      <c r="AJ37" s="700">
        <v>0</v>
      </c>
      <c r="AK37" s="700">
        <v>0</v>
      </c>
      <c r="AL37" s="700">
        <v>0</v>
      </c>
      <c r="AM37" s="700">
        <v>0</v>
      </c>
      <c r="AN37" s="700">
        <v>0</v>
      </c>
      <c r="AO37" s="700">
        <v>0</v>
      </c>
      <c r="AP37" s="700">
        <v>0</v>
      </c>
      <c r="AQ37" s="700">
        <v>0</v>
      </c>
      <c r="AR37" s="700">
        <v>0</v>
      </c>
      <c r="AS37" s="700">
        <v>0</v>
      </c>
      <c r="AT37" s="700">
        <v>0</v>
      </c>
      <c r="AU37" s="700">
        <v>0</v>
      </c>
      <c r="AV37" s="700">
        <v>0</v>
      </c>
      <c r="AW37" s="700">
        <v>0</v>
      </c>
      <c r="AX37" s="700">
        <v>0</v>
      </c>
      <c r="AY37" s="699">
        <v>17792757.368888889</v>
      </c>
      <c r="AZ37" s="699">
        <v>17777777.777777776</v>
      </c>
      <c r="BA37" s="699">
        <v>17777777.777777776</v>
      </c>
      <c r="BB37" s="699">
        <v>17777777.777777776</v>
      </c>
      <c r="BC37" s="700">
        <v>0</v>
      </c>
      <c r="BD37" s="700">
        <v>0</v>
      </c>
      <c r="BE37" s="700">
        <v>0</v>
      </c>
      <c r="BF37" s="700">
        <v>0</v>
      </c>
      <c r="BG37" s="699">
        <f t="shared" si="5"/>
        <v>389059134.63999999</v>
      </c>
      <c r="BH37" s="699">
        <f t="shared" si="5"/>
        <v>277794872.60444444</v>
      </c>
      <c r="BI37" s="699">
        <f t="shared" si="5"/>
        <v>275399272.95111108</v>
      </c>
      <c r="BJ37" s="699">
        <f t="shared" si="5"/>
        <v>247576948.28444439</v>
      </c>
      <c r="BK37" s="690"/>
    </row>
    <row r="38" spans="1:64" ht="45.75" customHeight="1" x14ac:dyDescent="0.25">
      <c r="A38" s="698" t="s">
        <v>2199</v>
      </c>
      <c r="B38" s="935"/>
      <c r="C38" s="699">
        <v>204838040.77777776</v>
      </c>
      <c r="D38" s="699">
        <v>180559144.22222221</v>
      </c>
      <c r="E38" s="699">
        <v>178163544.56888887</v>
      </c>
      <c r="F38" s="699">
        <v>150341219.90222219</v>
      </c>
      <c r="G38" s="700">
        <v>0</v>
      </c>
      <c r="H38" s="700">
        <v>0</v>
      </c>
      <c r="I38" s="700">
        <v>0</v>
      </c>
      <c r="J38" s="700">
        <v>0</v>
      </c>
      <c r="K38" s="700">
        <v>0</v>
      </c>
      <c r="L38" s="700">
        <v>0</v>
      </c>
      <c r="M38" s="700">
        <v>0</v>
      </c>
      <c r="N38" s="700">
        <v>0</v>
      </c>
      <c r="O38" s="700">
        <v>0</v>
      </c>
      <c r="P38" s="700">
        <v>0</v>
      </c>
      <c r="Q38" s="700">
        <v>0</v>
      </c>
      <c r="R38" s="700">
        <v>0</v>
      </c>
      <c r="S38" s="699">
        <v>61983892.048888892</v>
      </c>
      <c r="T38" s="699">
        <v>58782716.159999996</v>
      </c>
      <c r="U38" s="699">
        <v>58782716.159999996</v>
      </c>
      <c r="V38" s="699">
        <v>58782716.159999996</v>
      </c>
      <c r="W38" s="700">
        <v>0</v>
      </c>
      <c r="X38" s="700">
        <v>0</v>
      </c>
      <c r="Y38" s="700">
        <v>0</v>
      </c>
      <c r="Z38" s="700">
        <v>0</v>
      </c>
      <c r="AA38" s="699">
        <v>104444444.44444443</v>
      </c>
      <c r="AB38" s="699">
        <v>20675234.444444444</v>
      </c>
      <c r="AC38" s="699">
        <v>20675234.444444444</v>
      </c>
      <c r="AD38" s="699">
        <v>20675234.444444444</v>
      </c>
      <c r="AE38" s="700">
        <v>0</v>
      </c>
      <c r="AF38" s="700">
        <v>0</v>
      </c>
      <c r="AG38" s="700">
        <v>0</v>
      </c>
      <c r="AH38" s="700">
        <v>0</v>
      </c>
      <c r="AI38" s="700">
        <v>0</v>
      </c>
      <c r="AJ38" s="700">
        <v>0</v>
      </c>
      <c r="AK38" s="700">
        <v>0</v>
      </c>
      <c r="AL38" s="700">
        <v>0</v>
      </c>
      <c r="AM38" s="700">
        <v>0</v>
      </c>
      <c r="AN38" s="700">
        <v>0</v>
      </c>
      <c r="AO38" s="700">
        <v>0</v>
      </c>
      <c r="AP38" s="700">
        <v>0</v>
      </c>
      <c r="AQ38" s="700">
        <v>0</v>
      </c>
      <c r="AR38" s="700">
        <v>0</v>
      </c>
      <c r="AS38" s="700">
        <v>0</v>
      </c>
      <c r="AT38" s="700">
        <v>0</v>
      </c>
      <c r="AU38" s="700">
        <v>0</v>
      </c>
      <c r="AV38" s="700">
        <v>0</v>
      </c>
      <c r="AW38" s="700">
        <v>0</v>
      </c>
      <c r="AX38" s="700">
        <v>0</v>
      </c>
      <c r="AY38" s="699">
        <v>17792757.368888889</v>
      </c>
      <c r="AZ38" s="699">
        <v>17777777.777777776</v>
      </c>
      <c r="BA38" s="699">
        <v>17777777.777777776</v>
      </c>
      <c r="BB38" s="699">
        <v>17777777.777777776</v>
      </c>
      <c r="BC38" s="700">
        <v>0</v>
      </c>
      <c r="BD38" s="700">
        <v>0</v>
      </c>
      <c r="BE38" s="700">
        <v>0</v>
      </c>
      <c r="BF38" s="700">
        <v>0</v>
      </c>
      <c r="BG38" s="699">
        <f t="shared" si="5"/>
        <v>389059134.63999999</v>
      </c>
      <c r="BH38" s="699">
        <f t="shared" si="5"/>
        <v>277794872.60444444</v>
      </c>
      <c r="BI38" s="699">
        <f t="shared" si="5"/>
        <v>275399272.95111108</v>
      </c>
      <c r="BJ38" s="699">
        <f t="shared" si="5"/>
        <v>247576948.28444439</v>
      </c>
      <c r="BK38" s="701">
        <f>+SUM(BG25:BG38)-B25</f>
        <v>0</v>
      </c>
    </row>
    <row r="39" spans="1:64" ht="45.75" customHeight="1" x14ac:dyDescent="0.25">
      <c r="A39" s="607" t="s">
        <v>2200</v>
      </c>
      <c r="B39" s="693">
        <f t="shared" ref="B39:AD39" si="15">SUM(B40:B40)</f>
        <v>83759830</v>
      </c>
      <c r="C39" s="693">
        <f t="shared" si="15"/>
        <v>36275990</v>
      </c>
      <c r="D39" s="693">
        <f t="shared" si="15"/>
        <v>36275990</v>
      </c>
      <c r="E39" s="693">
        <f t="shared" si="15"/>
        <v>36275990</v>
      </c>
      <c r="F39" s="693">
        <f t="shared" si="15"/>
        <v>36275990</v>
      </c>
      <c r="G39" s="693">
        <f t="shared" si="15"/>
        <v>47483840</v>
      </c>
      <c r="H39" s="693">
        <f>SUM(H40:H40)</f>
        <v>47483840</v>
      </c>
      <c r="I39" s="693">
        <f>SUM(I40:I40)</f>
        <v>47483840</v>
      </c>
      <c r="J39" s="693">
        <f t="shared" si="15"/>
        <v>45422552</v>
      </c>
      <c r="K39" s="693">
        <f t="shared" si="15"/>
        <v>0</v>
      </c>
      <c r="L39" s="693">
        <f t="shared" si="15"/>
        <v>0</v>
      </c>
      <c r="M39" s="693">
        <f t="shared" si="15"/>
        <v>0</v>
      </c>
      <c r="N39" s="693">
        <f t="shared" si="15"/>
        <v>0</v>
      </c>
      <c r="O39" s="693">
        <f t="shared" si="15"/>
        <v>0</v>
      </c>
      <c r="P39" s="693">
        <f t="shared" si="15"/>
        <v>0</v>
      </c>
      <c r="Q39" s="693">
        <f t="shared" si="15"/>
        <v>0</v>
      </c>
      <c r="R39" s="693">
        <f t="shared" si="15"/>
        <v>0</v>
      </c>
      <c r="S39" s="693">
        <f t="shared" si="15"/>
        <v>0</v>
      </c>
      <c r="T39" s="693">
        <f t="shared" si="15"/>
        <v>0</v>
      </c>
      <c r="U39" s="693">
        <f t="shared" si="15"/>
        <v>0</v>
      </c>
      <c r="V39" s="693">
        <f t="shared" si="15"/>
        <v>0</v>
      </c>
      <c r="W39" s="693">
        <f t="shared" si="15"/>
        <v>0</v>
      </c>
      <c r="X39" s="693">
        <f t="shared" si="15"/>
        <v>0</v>
      </c>
      <c r="Y39" s="693">
        <f t="shared" si="15"/>
        <v>0</v>
      </c>
      <c r="Z39" s="693">
        <f t="shared" si="15"/>
        <v>0</v>
      </c>
      <c r="AA39" s="693">
        <f t="shared" si="15"/>
        <v>0</v>
      </c>
      <c r="AB39" s="693">
        <f t="shared" si="15"/>
        <v>0</v>
      </c>
      <c r="AC39" s="693">
        <f t="shared" si="15"/>
        <v>0</v>
      </c>
      <c r="AD39" s="693">
        <f t="shared" si="15"/>
        <v>0</v>
      </c>
      <c r="AE39" s="693">
        <f t="shared" ref="AE39:BF39" si="16">SUM(AE40:AE40)</f>
        <v>0</v>
      </c>
      <c r="AF39" s="693">
        <f t="shared" si="16"/>
        <v>0</v>
      </c>
      <c r="AG39" s="693">
        <f t="shared" si="16"/>
        <v>0</v>
      </c>
      <c r="AH39" s="693">
        <f t="shared" si="16"/>
        <v>0</v>
      </c>
      <c r="AI39" s="693">
        <f t="shared" si="16"/>
        <v>0</v>
      </c>
      <c r="AJ39" s="693">
        <f t="shared" si="16"/>
        <v>0</v>
      </c>
      <c r="AK39" s="693">
        <f t="shared" si="16"/>
        <v>0</v>
      </c>
      <c r="AL39" s="693">
        <f t="shared" si="16"/>
        <v>0</v>
      </c>
      <c r="AM39" s="693">
        <f t="shared" si="16"/>
        <v>0</v>
      </c>
      <c r="AN39" s="693">
        <f t="shared" si="16"/>
        <v>0</v>
      </c>
      <c r="AO39" s="693">
        <f t="shared" si="16"/>
        <v>0</v>
      </c>
      <c r="AP39" s="693">
        <f t="shared" si="16"/>
        <v>0</v>
      </c>
      <c r="AQ39" s="693">
        <f t="shared" si="16"/>
        <v>0</v>
      </c>
      <c r="AR39" s="693">
        <f t="shared" si="16"/>
        <v>0</v>
      </c>
      <c r="AS39" s="693">
        <f t="shared" si="16"/>
        <v>0</v>
      </c>
      <c r="AT39" s="693">
        <f t="shared" si="16"/>
        <v>0</v>
      </c>
      <c r="AU39" s="693">
        <f t="shared" si="16"/>
        <v>0</v>
      </c>
      <c r="AV39" s="693">
        <f t="shared" si="16"/>
        <v>0</v>
      </c>
      <c r="AW39" s="693">
        <f t="shared" si="16"/>
        <v>0</v>
      </c>
      <c r="AX39" s="693">
        <f t="shared" si="16"/>
        <v>0</v>
      </c>
      <c r="AY39" s="693">
        <f t="shared" si="16"/>
        <v>0</v>
      </c>
      <c r="AZ39" s="693">
        <f t="shared" si="16"/>
        <v>0</v>
      </c>
      <c r="BA39" s="693">
        <f t="shared" si="16"/>
        <v>0</v>
      </c>
      <c r="BB39" s="693">
        <f t="shared" si="16"/>
        <v>0</v>
      </c>
      <c r="BC39" s="693">
        <f t="shared" si="16"/>
        <v>0</v>
      </c>
      <c r="BD39" s="693">
        <f t="shared" si="16"/>
        <v>0</v>
      </c>
      <c r="BE39" s="693">
        <f t="shared" si="16"/>
        <v>0</v>
      </c>
      <c r="BF39" s="693">
        <f t="shared" si="16"/>
        <v>0</v>
      </c>
      <c r="BG39" s="693">
        <f>ROUND(+C39+G39+K39+O39+S39+W39+AA39+AE39+AI39+AM39+AQ39+AU39+AY39+BC39,0)</f>
        <v>83759830</v>
      </c>
      <c r="BH39" s="693">
        <f>ROUND(+D39+H39+L39+P39+T39+X39+AB39+AF39+AJ39+AN39+AR39+AV39+AZ39+BD39,0)</f>
        <v>83759830</v>
      </c>
      <c r="BI39" s="693">
        <f>ROUND(+E39+I39+M39+Q39+U39+Y39+AC39+AG39+AK39+AO39+AS39+AW39+BA39+BE39,0)</f>
        <v>83759830</v>
      </c>
      <c r="BJ39" s="693">
        <f>ROUND(+F39+J39+N39+R39+V39+Z39+AD39+AH39+AL39+AP39+AT39+AX39+BB39+BF39,0)</f>
        <v>81698542</v>
      </c>
      <c r="BK39" s="694">
        <f>+SUM(BG40)-BG39</f>
        <v>0</v>
      </c>
      <c r="BL39" s="695">
        <f>+BG39-B39</f>
        <v>0</v>
      </c>
    </row>
    <row r="40" spans="1:64" ht="45.75" customHeight="1" x14ac:dyDescent="0.25">
      <c r="A40" s="698" t="s">
        <v>2201</v>
      </c>
      <c r="B40" s="699">
        <f>400956958+290000000-607197128</f>
        <v>83759830</v>
      </c>
      <c r="C40" s="699">
        <f>+SUM([8]INFORME_PCT!$F$75,[8]INFORME_PCT!$F$77,[8]INFORME_PCT!$F$79)</f>
        <v>36275990</v>
      </c>
      <c r="D40" s="699">
        <f>+SUM([8]INFORME_PCT!$H$75,[8]INFORME_PCT!$H$77,[8]INFORME_PCT!$H$79)</f>
        <v>36275990</v>
      </c>
      <c r="E40" s="699">
        <f>+SUM([8]INFORME_PCT!$I$75+[8]INFORME_PCT!$I$77+[8]INFORME_PCT!$I$79)</f>
        <v>36275990</v>
      </c>
      <c r="F40" s="699">
        <f>+SUM([8]INFORME_PCT!$J$75,[8]INFORME_PCT!$J$77,[8]INFORME_PCT!$J$79)</f>
        <v>36275990</v>
      </c>
      <c r="G40" s="699">
        <f>+SUM([8]INFORME_PCT!$F$76,[8]INFORME_PCT!$F$78,[8]INFORME_PCT!$F$80)</f>
        <v>47483840</v>
      </c>
      <c r="H40" s="699">
        <f>+SUM([8]INFORME_PCT!$H$76,[8]INFORME_PCT!$H$78,[8]INFORME_PCT!$H$80)</f>
        <v>47483840</v>
      </c>
      <c r="I40" s="699">
        <f>+SUM([8]INFORME_PCT!$I$76,[8]INFORME_PCT!$I$78,[8]INFORME_PCT!$I$80)</f>
        <v>47483840</v>
      </c>
      <c r="J40" s="699">
        <f>+SUM([8]INFORME_PCT!$J$76,[8]INFORME_PCT!$J$78,[8]INFORME_PCT!$J$80)</f>
        <v>45422552</v>
      </c>
      <c r="K40" s="700">
        <v>0</v>
      </c>
      <c r="L40" s="700">
        <v>0</v>
      </c>
      <c r="M40" s="700">
        <v>0</v>
      </c>
      <c r="N40" s="700">
        <v>0</v>
      </c>
      <c r="O40" s="700">
        <v>0</v>
      </c>
      <c r="P40" s="700">
        <v>0</v>
      </c>
      <c r="Q40" s="700">
        <v>0</v>
      </c>
      <c r="R40" s="700">
        <v>0</v>
      </c>
      <c r="S40" s="700">
        <v>0</v>
      </c>
      <c r="T40" s="700">
        <v>0</v>
      </c>
      <c r="U40" s="700">
        <v>0</v>
      </c>
      <c r="V40" s="700">
        <v>0</v>
      </c>
      <c r="W40" s="700">
        <v>0</v>
      </c>
      <c r="X40" s="700">
        <v>0</v>
      </c>
      <c r="Y40" s="700">
        <v>0</v>
      </c>
      <c r="Z40" s="700">
        <v>0</v>
      </c>
      <c r="AA40" s="700">
        <v>0</v>
      </c>
      <c r="AB40" s="700">
        <v>0</v>
      </c>
      <c r="AC40" s="700">
        <v>0</v>
      </c>
      <c r="AD40" s="700">
        <v>0</v>
      </c>
      <c r="AE40" s="700">
        <v>0</v>
      </c>
      <c r="AF40" s="700">
        <v>0</v>
      </c>
      <c r="AG40" s="700">
        <v>0</v>
      </c>
      <c r="AH40" s="700">
        <v>0</v>
      </c>
      <c r="AI40" s="700">
        <v>0</v>
      </c>
      <c r="AJ40" s="700">
        <v>0</v>
      </c>
      <c r="AK40" s="700">
        <v>0</v>
      </c>
      <c r="AL40" s="700">
        <v>0</v>
      </c>
      <c r="AM40" s="700">
        <v>0</v>
      </c>
      <c r="AN40" s="700">
        <v>0</v>
      </c>
      <c r="AO40" s="700">
        <v>0</v>
      </c>
      <c r="AP40" s="700">
        <v>0</v>
      </c>
      <c r="AQ40" s="700">
        <v>0</v>
      </c>
      <c r="AR40" s="700">
        <v>0</v>
      </c>
      <c r="AS40" s="700">
        <v>0</v>
      </c>
      <c r="AT40" s="700">
        <v>0</v>
      </c>
      <c r="AU40" s="700">
        <v>0</v>
      </c>
      <c r="AV40" s="700">
        <v>0</v>
      </c>
      <c r="AW40" s="700">
        <v>0</v>
      </c>
      <c r="AX40" s="700">
        <v>0</v>
      </c>
      <c r="AY40" s="700">
        <v>0</v>
      </c>
      <c r="AZ40" s="700">
        <v>0</v>
      </c>
      <c r="BA40" s="700">
        <v>0</v>
      </c>
      <c r="BB40" s="700">
        <v>0</v>
      </c>
      <c r="BC40" s="700">
        <v>0</v>
      </c>
      <c r="BD40" s="700">
        <v>0</v>
      </c>
      <c r="BE40" s="700">
        <v>0</v>
      </c>
      <c r="BF40" s="700">
        <v>0</v>
      </c>
      <c r="BG40" s="699">
        <f t="shared" si="5"/>
        <v>83759830</v>
      </c>
      <c r="BH40" s="699">
        <f t="shared" si="5"/>
        <v>83759830</v>
      </c>
      <c r="BI40" s="699">
        <f t="shared" si="5"/>
        <v>83759830</v>
      </c>
      <c r="BJ40" s="699">
        <f t="shared" si="5"/>
        <v>81698542</v>
      </c>
      <c r="BK40" s="701">
        <f>+BG40-B40</f>
        <v>0</v>
      </c>
    </row>
    <row r="41" spans="1:64" ht="45.75" customHeight="1" x14ac:dyDescent="0.25">
      <c r="A41" s="688" t="s">
        <v>2202</v>
      </c>
      <c r="B41" s="689">
        <f>+B42+B47</f>
        <v>16802413134.220001</v>
      </c>
      <c r="C41" s="689">
        <f t="shared" ref="C41:BF41" si="17">+C42+C47</f>
        <v>466663771</v>
      </c>
      <c r="D41" s="689">
        <f t="shared" si="17"/>
        <v>465756618.00000006</v>
      </c>
      <c r="E41" s="689">
        <f t="shared" si="17"/>
        <v>465756618.00000006</v>
      </c>
      <c r="F41" s="689">
        <f t="shared" si="17"/>
        <v>465756618.00000006</v>
      </c>
      <c r="G41" s="689">
        <f t="shared" si="17"/>
        <v>0</v>
      </c>
      <c r="H41" s="689">
        <f t="shared" si="17"/>
        <v>0</v>
      </c>
      <c r="I41" s="689">
        <f t="shared" si="17"/>
        <v>0</v>
      </c>
      <c r="J41" s="689">
        <f t="shared" si="17"/>
        <v>0</v>
      </c>
      <c r="K41" s="689">
        <f t="shared" si="17"/>
        <v>0</v>
      </c>
      <c r="L41" s="689">
        <f t="shared" si="17"/>
        <v>0</v>
      </c>
      <c r="M41" s="689">
        <f t="shared" si="17"/>
        <v>0</v>
      </c>
      <c r="N41" s="689">
        <f t="shared" si="17"/>
        <v>0</v>
      </c>
      <c r="O41" s="689">
        <f t="shared" si="17"/>
        <v>0</v>
      </c>
      <c r="P41" s="689">
        <f t="shared" si="17"/>
        <v>0</v>
      </c>
      <c r="Q41" s="689">
        <f t="shared" si="17"/>
        <v>0</v>
      </c>
      <c r="R41" s="689">
        <f t="shared" si="17"/>
        <v>0</v>
      </c>
      <c r="S41" s="689">
        <f t="shared" si="17"/>
        <v>0</v>
      </c>
      <c r="T41" s="689">
        <f t="shared" si="17"/>
        <v>0</v>
      </c>
      <c r="U41" s="689">
        <f t="shared" si="17"/>
        <v>0</v>
      </c>
      <c r="V41" s="689">
        <f t="shared" si="17"/>
        <v>0</v>
      </c>
      <c r="W41" s="689">
        <f t="shared" si="17"/>
        <v>16287749363.220001</v>
      </c>
      <c r="X41" s="689">
        <f t="shared" si="17"/>
        <v>16267755780</v>
      </c>
      <c r="Y41" s="689">
        <f t="shared" si="17"/>
        <v>8820950359.1999989</v>
      </c>
      <c r="Z41" s="689">
        <f t="shared" si="17"/>
        <v>8820950359.1999989</v>
      </c>
      <c r="AA41" s="689">
        <f t="shared" si="17"/>
        <v>0</v>
      </c>
      <c r="AB41" s="689">
        <f t="shared" si="17"/>
        <v>0</v>
      </c>
      <c r="AC41" s="689">
        <f t="shared" si="17"/>
        <v>0</v>
      </c>
      <c r="AD41" s="689">
        <f t="shared" si="17"/>
        <v>0</v>
      </c>
      <c r="AE41" s="689">
        <f t="shared" si="17"/>
        <v>48000000.000000007</v>
      </c>
      <c r="AF41" s="689">
        <f t="shared" si="17"/>
        <v>34612340</v>
      </c>
      <c r="AG41" s="689">
        <f t="shared" si="17"/>
        <v>34612340</v>
      </c>
      <c r="AH41" s="689">
        <f t="shared" si="17"/>
        <v>34612340</v>
      </c>
      <c r="AI41" s="689">
        <f t="shared" si="17"/>
        <v>0</v>
      </c>
      <c r="AJ41" s="689">
        <f t="shared" si="17"/>
        <v>0</v>
      </c>
      <c r="AK41" s="689">
        <f t="shared" si="17"/>
        <v>0</v>
      </c>
      <c r="AL41" s="689">
        <f t="shared" si="17"/>
        <v>0</v>
      </c>
      <c r="AM41" s="689">
        <f t="shared" si="17"/>
        <v>0</v>
      </c>
      <c r="AN41" s="689">
        <f t="shared" si="17"/>
        <v>0</v>
      </c>
      <c r="AO41" s="689">
        <f t="shared" si="17"/>
        <v>0</v>
      </c>
      <c r="AP41" s="689">
        <f t="shared" si="17"/>
        <v>0</v>
      </c>
      <c r="AQ41" s="689">
        <f t="shared" si="17"/>
        <v>0</v>
      </c>
      <c r="AR41" s="689">
        <f t="shared" si="17"/>
        <v>0</v>
      </c>
      <c r="AS41" s="689">
        <f t="shared" si="17"/>
        <v>0</v>
      </c>
      <c r="AT41" s="689">
        <f t="shared" si="17"/>
        <v>0</v>
      </c>
      <c r="AU41" s="689">
        <f t="shared" si="17"/>
        <v>0</v>
      </c>
      <c r="AV41" s="689">
        <f t="shared" si="17"/>
        <v>0</v>
      </c>
      <c r="AW41" s="689">
        <f t="shared" si="17"/>
        <v>0</v>
      </c>
      <c r="AX41" s="689">
        <f t="shared" si="17"/>
        <v>0</v>
      </c>
      <c r="AY41" s="689">
        <f t="shared" si="17"/>
        <v>0</v>
      </c>
      <c r="AZ41" s="689">
        <f t="shared" si="17"/>
        <v>0</v>
      </c>
      <c r="BA41" s="689">
        <f t="shared" si="17"/>
        <v>0</v>
      </c>
      <c r="BB41" s="689">
        <f t="shared" si="17"/>
        <v>0</v>
      </c>
      <c r="BC41" s="689">
        <f t="shared" si="17"/>
        <v>0</v>
      </c>
      <c r="BD41" s="689">
        <f t="shared" si="17"/>
        <v>0</v>
      </c>
      <c r="BE41" s="689">
        <f t="shared" si="17"/>
        <v>0</v>
      </c>
      <c r="BF41" s="689">
        <f t="shared" si="17"/>
        <v>0</v>
      </c>
      <c r="BG41" s="689">
        <f t="shared" ref="BG41:BI42" si="18">ROUND(+C41+G41+K41+O41+S41+W41+AA41+AE41+AI41+AM41+AQ41+AU41+AY41+BC41,0)</f>
        <v>16802413134</v>
      </c>
      <c r="BH41" s="689">
        <f t="shared" si="18"/>
        <v>16768124738</v>
      </c>
      <c r="BI41" s="689">
        <f t="shared" si="18"/>
        <v>9321319317</v>
      </c>
      <c r="BJ41" s="689">
        <f t="shared" si="5"/>
        <v>9321319317.1999989</v>
      </c>
      <c r="BK41" s="690"/>
    </row>
    <row r="42" spans="1:64" ht="45.75" customHeight="1" x14ac:dyDescent="0.25">
      <c r="A42" s="607" t="s">
        <v>2203</v>
      </c>
      <c r="B42" s="693">
        <f>SUM(B43)</f>
        <v>497850171</v>
      </c>
      <c r="C42" s="693">
        <f t="shared" ref="C42:BF42" si="19">SUM(C43:C46)</f>
        <v>449850171</v>
      </c>
      <c r="D42" s="693">
        <f t="shared" si="19"/>
        <v>448943018.00000006</v>
      </c>
      <c r="E42" s="693">
        <f t="shared" si="19"/>
        <v>448943018.00000006</v>
      </c>
      <c r="F42" s="693">
        <f t="shared" si="19"/>
        <v>448943018.00000006</v>
      </c>
      <c r="G42" s="693">
        <f t="shared" si="19"/>
        <v>0</v>
      </c>
      <c r="H42" s="693">
        <f t="shared" si="19"/>
        <v>0</v>
      </c>
      <c r="I42" s="693">
        <f t="shared" si="19"/>
        <v>0</v>
      </c>
      <c r="J42" s="693">
        <f t="shared" si="19"/>
        <v>0</v>
      </c>
      <c r="K42" s="693">
        <f t="shared" si="19"/>
        <v>0</v>
      </c>
      <c r="L42" s="693">
        <f t="shared" si="19"/>
        <v>0</v>
      </c>
      <c r="M42" s="693">
        <f t="shared" si="19"/>
        <v>0</v>
      </c>
      <c r="N42" s="693">
        <f t="shared" si="19"/>
        <v>0</v>
      </c>
      <c r="O42" s="693">
        <f t="shared" si="19"/>
        <v>0</v>
      </c>
      <c r="P42" s="693">
        <f t="shared" si="19"/>
        <v>0</v>
      </c>
      <c r="Q42" s="693">
        <f t="shared" si="19"/>
        <v>0</v>
      </c>
      <c r="R42" s="693">
        <f t="shared" si="19"/>
        <v>0</v>
      </c>
      <c r="S42" s="693">
        <f t="shared" si="19"/>
        <v>0</v>
      </c>
      <c r="T42" s="693">
        <f t="shared" si="19"/>
        <v>0</v>
      </c>
      <c r="U42" s="693">
        <f t="shared" si="19"/>
        <v>0</v>
      </c>
      <c r="V42" s="693">
        <f t="shared" si="19"/>
        <v>0</v>
      </c>
      <c r="W42" s="693">
        <f t="shared" si="19"/>
        <v>0</v>
      </c>
      <c r="X42" s="693">
        <f t="shared" si="19"/>
        <v>0</v>
      </c>
      <c r="Y42" s="693">
        <f t="shared" si="19"/>
        <v>0</v>
      </c>
      <c r="Z42" s="693">
        <f t="shared" si="19"/>
        <v>0</v>
      </c>
      <c r="AA42" s="693">
        <f t="shared" si="19"/>
        <v>0</v>
      </c>
      <c r="AB42" s="693">
        <f t="shared" si="19"/>
        <v>0</v>
      </c>
      <c r="AC42" s="693">
        <f t="shared" si="19"/>
        <v>0</v>
      </c>
      <c r="AD42" s="693">
        <f t="shared" si="19"/>
        <v>0</v>
      </c>
      <c r="AE42" s="693">
        <f t="shared" si="19"/>
        <v>48000000.000000007</v>
      </c>
      <c r="AF42" s="693">
        <f t="shared" si="19"/>
        <v>34612340</v>
      </c>
      <c r="AG42" s="693">
        <f t="shared" si="19"/>
        <v>34612340</v>
      </c>
      <c r="AH42" s="693">
        <f t="shared" si="19"/>
        <v>34612340</v>
      </c>
      <c r="AI42" s="693">
        <f t="shared" si="19"/>
        <v>0</v>
      </c>
      <c r="AJ42" s="693">
        <f t="shared" si="19"/>
        <v>0</v>
      </c>
      <c r="AK42" s="693">
        <f t="shared" si="19"/>
        <v>0</v>
      </c>
      <c r="AL42" s="693">
        <f t="shared" si="19"/>
        <v>0</v>
      </c>
      <c r="AM42" s="693">
        <f t="shared" si="19"/>
        <v>0</v>
      </c>
      <c r="AN42" s="693">
        <f t="shared" si="19"/>
        <v>0</v>
      </c>
      <c r="AO42" s="693">
        <f t="shared" si="19"/>
        <v>0</v>
      </c>
      <c r="AP42" s="693">
        <f t="shared" si="19"/>
        <v>0</v>
      </c>
      <c r="AQ42" s="693">
        <f t="shared" si="19"/>
        <v>0</v>
      </c>
      <c r="AR42" s="693">
        <f t="shared" si="19"/>
        <v>0</v>
      </c>
      <c r="AS42" s="693">
        <f t="shared" si="19"/>
        <v>0</v>
      </c>
      <c r="AT42" s="693">
        <f t="shared" si="19"/>
        <v>0</v>
      </c>
      <c r="AU42" s="693">
        <f t="shared" si="19"/>
        <v>0</v>
      </c>
      <c r="AV42" s="693">
        <f t="shared" si="19"/>
        <v>0</v>
      </c>
      <c r="AW42" s="693">
        <f t="shared" si="19"/>
        <v>0</v>
      </c>
      <c r="AX42" s="693">
        <f t="shared" si="19"/>
        <v>0</v>
      </c>
      <c r="AY42" s="693">
        <f t="shared" si="19"/>
        <v>0</v>
      </c>
      <c r="AZ42" s="693">
        <f t="shared" si="19"/>
        <v>0</v>
      </c>
      <c r="BA42" s="693">
        <f t="shared" si="19"/>
        <v>0</v>
      </c>
      <c r="BB42" s="693">
        <f t="shared" si="19"/>
        <v>0</v>
      </c>
      <c r="BC42" s="693">
        <f t="shared" si="19"/>
        <v>0</v>
      </c>
      <c r="BD42" s="693">
        <f t="shared" si="19"/>
        <v>0</v>
      </c>
      <c r="BE42" s="693">
        <f t="shared" si="19"/>
        <v>0</v>
      </c>
      <c r="BF42" s="693">
        <f t="shared" si="19"/>
        <v>0</v>
      </c>
      <c r="BG42" s="693">
        <f t="shared" si="18"/>
        <v>497850171</v>
      </c>
      <c r="BH42" s="693">
        <f t="shared" si="18"/>
        <v>483555358</v>
      </c>
      <c r="BI42" s="693">
        <f t="shared" si="18"/>
        <v>483555358</v>
      </c>
      <c r="BJ42" s="693">
        <f>ROUND(+F42+J42+N42+R42+V42+Z42+AD42+AH42+AL42+AP42+AT42+AX42+BB42+BF42,0)</f>
        <v>483555358</v>
      </c>
      <c r="BK42" s="694">
        <f>+SUM(BG43:BG46)-BG42</f>
        <v>0</v>
      </c>
      <c r="BL42" s="695">
        <f>+BG42-B42</f>
        <v>0</v>
      </c>
    </row>
    <row r="43" spans="1:64" ht="45.75" customHeight="1" x14ac:dyDescent="0.25">
      <c r="A43" s="698" t="s">
        <v>2204</v>
      </c>
      <c r="B43" s="933">
        <f>140186400+357663771</f>
        <v>497850171</v>
      </c>
      <c r="C43" s="699">
        <v>149950057</v>
      </c>
      <c r="D43" s="699">
        <v>149647672.66666669</v>
      </c>
      <c r="E43" s="699">
        <v>149647672.66666669</v>
      </c>
      <c r="F43" s="699">
        <v>149647672.66666669</v>
      </c>
      <c r="G43" s="700">
        <v>0</v>
      </c>
      <c r="H43" s="700">
        <v>0</v>
      </c>
      <c r="I43" s="700">
        <v>0</v>
      </c>
      <c r="J43" s="700">
        <v>0</v>
      </c>
      <c r="K43" s="700">
        <v>0</v>
      </c>
      <c r="L43" s="700">
        <v>0</v>
      </c>
      <c r="M43" s="700">
        <v>0</v>
      </c>
      <c r="N43" s="700">
        <v>0</v>
      </c>
      <c r="O43" s="700">
        <v>0</v>
      </c>
      <c r="P43" s="700">
        <v>0</v>
      </c>
      <c r="Q43" s="700">
        <v>0</v>
      </c>
      <c r="R43" s="700">
        <v>0</v>
      </c>
      <c r="S43" s="700">
        <v>0</v>
      </c>
      <c r="T43" s="700">
        <v>0</v>
      </c>
      <c r="U43" s="700">
        <v>0</v>
      </c>
      <c r="V43" s="700">
        <v>0</v>
      </c>
      <c r="W43" s="700">
        <v>0</v>
      </c>
      <c r="X43" s="700">
        <v>0</v>
      </c>
      <c r="Y43" s="700">
        <v>0</v>
      </c>
      <c r="Z43" s="700">
        <v>0</v>
      </c>
      <c r="AA43" s="700">
        <v>0</v>
      </c>
      <c r="AB43" s="700">
        <v>0</v>
      </c>
      <c r="AC43" s="700">
        <v>0</v>
      </c>
      <c r="AD43" s="700">
        <v>0</v>
      </c>
      <c r="AE43" s="699">
        <v>16000000.000000002</v>
      </c>
      <c r="AF43" s="699">
        <v>11537446.666666668</v>
      </c>
      <c r="AG43" s="699">
        <v>11537446.666666668</v>
      </c>
      <c r="AH43" s="699">
        <v>11537446.666666668</v>
      </c>
      <c r="AI43" s="700">
        <v>0</v>
      </c>
      <c r="AJ43" s="700">
        <v>0</v>
      </c>
      <c r="AK43" s="700">
        <v>0</v>
      </c>
      <c r="AL43" s="700">
        <v>0</v>
      </c>
      <c r="AM43" s="700">
        <v>0</v>
      </c>
      <c r="AN43" s="700">
        <v>0</v>
      </c>
      <c r="AO43" s="700">
        <v>0</v>
      </c>
      <c r="AP43" s="700">
        <v>0</v>
      </c>
      <c r="AQ43" s="700">
        <v>0</v>
      </c>
      <c r="AR43" s="700">
        <v>0</v>
      </c>
      <c r="AS43" s="700">
        <v>0</v>
      </c>
      <c r="AT43" s="700">
        <v>0</v>
      </c>
      <c r="AU43" s="700">
        <v>0</v>
      </c>
      <c r="AV43" s="700">
        <v>0</v>
      </c>
      <c r="AW43" s="700">
        <v>0</v>
      </c>
      <c r="AX43" s="700">
        <v>0</v>
      </c>
      <c r="AY43" s="700">
        <v>0</v>
      </c>
      <c r="AZ43" s="700">
        <v>0</v>
      </c>
      <c r="BA43" s="700">
        <v>0</v>
      </c>
      <c r="BB43" s="700">
        <v>0</v>
      </c>
      <c r="BC43" s="700">
        <v>0</v>
      </c>
      <c r="BD43" s="700">
        <v>0</v>
      </c>
      <c r="BE43" s="700">
        <v>0</v>
      </c>
      <c r="BF43" s="700">
        <v>0</v>
      </c>
      <c r="BG43" s="699">
        <f t="shared" si="5"/>
        <v>165950057</v>
      </c>
      <c r="BH43" s="699">
        <f t="shared" si="5"/>
        <v>161185119.33333334</v>
      </c>
      <c r="BI43" s="699">
        <f t="shared" si="5"/>
        <v>161185119.33333334</v>
      </c>
      <c r="BJ43" s="699">
        <f t="shared" si="5"/>
        <v>161185119.33333334</v>
      </c>
      <c r="BK43" s="690"/>
    </row>
    <row r="44" spans="1:64" ht="45.75" customHeight="1" x14ac:dyDescent="0.25">
      <c r="A44" s="698" t="s">
        <v>2205</v>
      </c>
      <c r="B44" s="934"/>
      <c r="C44" s="699">
        <v>149950057</v>
      </c>
      <c r="D44" s="699">
        <v>149647672.66666669</v>
      </c>
      <c r="E44" s="699">
        <v>149647672.66666669</v>
      </c>
      <c r="F44" s="699">
        <v>149647672.66666669</v>
      </c>
      <c r="G44" s="700">
        <v>0</v>
      </c>
      <c r="H44" s="700">
        <v>0</v>
      </c>
      <c r="I44" s="700">
        <v>0</v>
      </c>
      <c r="J44" s="700">
        <v>0</v>
      </c>
      <c r="K44" s="700">
        <v>0</v>
      </c>
      <c r="L44" s="700">
        <v>0</v>
      </c>
      <c r="M44" s="700">
        <v>0</v>
      </c>
      <c r="N44" s="700">
        <v>0</v>
      </c>
      <c r="O44" s="700">
        <v>0</v>
      </c>
      <c r="P44" s="700">
        <v>0</v>
      </c>
      <c r="Q44" s="700">
        <v>0</v>
      </c>
      <c r="R44" s="700">
        <v>0</v>
      </c>
      <c r="S44" s="700">
        <v>0</v>
      </c>
      <c r="T44" s="700">
        <v>0</v>
      </c>
      <c r="U44" s="700">
        <v>0</v>
      </c>
      <c r="V44" s="700">
        <v>0</v>
      </c>
      <c r="W44" s="700">
        <v>0</v>
      </c>
      <c r="X44" s="700">
        <v>0</v>
      </c>
      <c r="Y44" s="700">
        <v>0</v>
      </c>
      <c r="Z44" s="700">
        <v>0</v>
      </c>
      <c r="AA44" s="700">
        <v>0</v>
      </c>
      <c r="AB44" s="700">
        <v>0</v>
      </c>
      <c r="AC44" s="700">
        <v>0</v>
      </c>
      <c r="AD44" s="700">
        <v>0</v>
      </c>
      <c r="AE44" s="699">
        <v>16000000.000000002</v>
      </c>
      <c r="AF44" s="699">
        <v>11537446.666666668</v>
      </c>
      <c r="AG44" s="699">
        <v>11537446.666666668</v>
      </c>
      <c r="AH44" s="699">
        <v>11537446.666666668</v>
      </c>
      <c r="AI44" s="700">
        <v>0</v>
      </c>
      <c r="AJ44" s="700">
        <v>0</v>
      </c>
      <c r="AK44" s="700">
        <v>0</v>
      </c>
      <c r="AL44" s="700">
        <v>0</v>
      </c>
      <c r="AM44" s="700">
        <v>0</v>
      </c>
      <c r="AN44" s="700">
        <v>0</v>
      </c>
      <c r="AO44" s="700">
        <v>0</v>
      </c>
      <c r="AP44" s="700">
        <v>0</v>
      </c>
      <c r="AQ44" s="700">
        <v>0</v>
      </c>
      <c r="AR44" s="700">
        <v>0</v>
      </c>
      <c r="AS44" s="700">
        <v>0</v>
      </c>
      <c r="AT44" s="700">
        <v>0</v>
      </c>
      <c r="AU44" s="700">
        <v>0</v>
      </c>
      <c r="AV44" s="700">
        <v>0</v>
      </c>
      <c r="AW44" s="700">
        <v>0</v>
      </c>
      <c r="AX44" s="700">
        <v>0</v>
      </c>
      <c r="AY44" s="700">
        <v>0</v>
      </c>
      <c r="AZ44" s="700">
        <v>0</v>
      </c>
      <c r="BA44" s="700">
        <v>0</v>
      </c>
      <c r="BB44" s="700">
        <v>0</v>
      </c>
      <c r="BC44" s="700">
        <v>0</v>
      </c>
      <c r="BD44" s="700">
        <v>0</v>
      </c>
      <c r="BE44" s="700">
        <v>0</v>
      </c>
      <c r="BF44" s="700">
        <v>0</v>
      </c>
      <c r="BG44" s="699">
        <f t="shared" si="5"/>
        <v>165950057</v>
      </c>
      <c r="BH44" s="699">
        <f t="shared" si="5"/>
        <v>161185119.33333334</v>
      </c>
      <c r="BI44" s="699">
        <f t="shared" si="5"/>
        <v>161185119.33333334</v>
      </c>
      <c r="BJ44" s="699">
        <f t="shared" si="5"/>
        <v>161185119.33333334</v>
      </c>
      <c r="BK44" s="690"/>
    </row>
    <row r="45" spans="1:64" ht="45.75" customHeight="1" x14ac:dyDescent="0.25">
      <c r="A45" s="698" t="s">
        <v>2206</v>
      </c>
      <c r="B45" s="934"/>
      <c r="C45" s="699">
        <v>149950057</v>
      </c>
      <c r="D45" s="699">
        <v>149647672.66666669</v>
      </c>
      <c r="E45" s="699">
        <v>149647672.66666669</v>
      </c>
      <c r="F45" s="699">
        <v>149647672.66666669</v>
      </c>
      <c r="G45" s="700">
        <v>0</v>
      </c>
      <c r="H45" s="700">
        <v>0</v>
      </c>
      <c r="I45" s="700">
        <v>0</v>
      </c>
      <c r="J45" s="700">
        <v>0</v>
      </c>
      <c r="K45" s="700">
        <v>0</v>
      </c>
      <c r="L45" s="700">
        <v>0</v>
      </c>
      <c r="M45" s="700">
        <v>0</v>
      </c>
      <c r="N45" s="700">
        <v>0</v>
      </c>
      <c r="O45" s="700">
        <v>0</v>
      </c>
      <c r="P45" s="700">
        <v>0</v>
      </c>
      <c r="Q45" s="700">
        <v>0</v>
      </c>
      <c r="R45" s="700">
        <v>0</v>
      </c>
      <c r="S45" s="700">
        <v>0</v>
      </c>
      <c r="T45" s="700">
        <v>0</v>
      </c>
      <c r="U45" s="700">
        <v>0</v>
      </c>
      <c r="V45" s="700">
        <v>0</v>
      </c>
      <c r="W45" s="700">
        <v>0</v>
      </c>
      <c r="X45" s="700">
        <v>0</v>
      </c>
      <c r="Y45" s="700">
        <v>0</v>
      </c>
      <c r="Z45" s="700">
        <v>0</v>
      </c>
      <c r="AA45" s="700">
        <v>0</v>
      </c>
      <c r="AB45" s="700">
        <v>0</v>
      </c>
      <c r="AC45" s="700">
        <v>0</v>
      </c>
      <c r="AD45" s="700">
        <v>0</v>
      </c>
      <c r="AE45" s="699">
        <v>16000000.000000002</v>
      </c>
      <c r="AF45" s="699">
        <v>11537446.666666668</v>
      </c>
      <c r="AG45" s="699">
        <v>11537446.666666668</v>
      </c>
      <c r="AH45" s="699">
        <v>11537446.666666668</v>
      </c>
      <c r="AI45" s="700">
        <v>0</v>
      </c>
      <c r="AJ45" s="700">
        <v>0</v>
      </c>
      <c r="AK45" s="700">
        <v>0</v>
      </c>
      <c r="AL45" s="700">
        <v>0</v>
      </c>
      <c r="AM45" s="700">
        <v>0</v>
      </c>
      <c r="AN45" s="700">
        <v>0</v>
      </c>
      <c r="AO45" s="700">
        <v>0</v>
      </c>
      <c r="AP45" s="700">
        <v>0</v>
      </c>
      <c r="AQ45" s="700">
        <v>0</v>
      </c>
      <c r="AR45" s="700">
        <v>0</v>
      </c>
      <c r="AS45" s="700">
        <v>0</v>
      </c>
      <c r="AT45" s="700">
        <v>0</v>
      </c>
      <c r="AU45" s="700">
        <v>0</v>
      </c>
      <c r="AV45" s="700">
        <v>0</v>
      </c>
      <c r="AW45" s="700">
        <v>0</v>
      </c>
      <c r="AX45" s="700">
        <v>0</v>
      </c>
      <c r="AY45" s="700">
        <v>0</v>
      </c>
      <c r="AZ45" s="700">
        <v>0</v>
      </c>
      <c r="BA45" s="700">
        <v>0</v>
      </c>
      <c r="BB45" s="700">
        <v>0</v>
      </c>
      <c r="BC45" s="700">
        <v>0</v>
      </c>
      <c r="BD45" s="700">
        <v>0</v>
      </c>
      <c r="BE45" s="700">
        <v>0</v>
      </c>
      <c r="BF45" s="700">
        <v>0</v>
      </c>
      <c r="BG45" s="699">
        <f t="shared" si="5"/>
        <v>165950057</v>
      </c>
      <c r="BH45" s="699">
        <f t="shared" si="5"/>
        <v>161185119.33333334</v>
      </c>
      <c r="BI45" s="699">
        <f t="shared" si="5"/>
        <v>161185119.33333334</v>
      </c>
      <c r="BJ45" s="699">
        <f t="shared" si="5"/>
        <v>161185119.33333334</v>
      </c>
      <c r="BK45" s="690"/>
    </row>
    <row r="46" spans="1:64" ht="45.75" customHeight="1" x14ac:dyDescent="0.25">
      <c r="A46" s="696" t="s">
        <v>2207</v>
      </c>
      <c r="B46" s="935"/>
      <c r="C46" s="700">
        <v>0</v>
      </c>
      <c r="D46" s="700">
        <v>0</v>
      </c>
      <c r="E46" s="700">
        <v>0</v>
      </c>
      <c r="F46" s="700">
        <v>0</v>
      </c>
      <c r="G46" s="697">
        <v>0</v>
      </c>
      <c r="H46" s="697">
        <v>0</v>
      </c>
      <c r="I46" s="697">
        <v>0</v>
      </c>
      <c r="J46" s="697">
        <v>0</v>
      </c>
      <c r="K46" s="697">
        <v>0</v>
      </c>
      <c r="L46" s="697">
        <v>0</v>
      </c>
      <c r="M46" s="697">
        <v>0</v>
      </c>
      <c r="N46" s="697">
        <v>0</v>
      </c>
      <c r="O46" s="697">
        <v>0</v>
      </c>
      <c r="P46" s="697">
        <v>0</v>
      </c>
      <c r="Q46" s="697">
        <v>0</v>
      </c>
      <c r="R46" s="697">
        <v>0</v>
      </c>
      <c r="S46" s="697">
        <v>0</v>
      </c>
      <c r="T46" s="697">
        <v>0</v>
      </c>
      <c r="U46" s="697">
        <v>0</v>
      </c>
      <c r="V46" s="697">
        <v>0</v>
      </c>
      <c r="W46" s="697">
        <v>0</v>
      </c>
      <c r="X46" s="697">
        <v>0</v>
      </c>
      <c r="Y46" s="697">
        <v>0</v>
      </c>
      <c r="Z46" s="697">
        <v>0</v>
      </c>
      <c r="AA46" s="697">
        <v>0</v>
      </c>
      <c r="AB46" s="697">
        <v>0</v>
      </c>
      <c r="AC46" s="697">
        <v>0</v>
      </c>
      <c r="AD46" s="697">
        <v>0</v>
      </c>
      <c r="AE46" s="697">
        <v>0</v>
      </c>
      <c r="AF46" s="697">
        <v>0</v>
      </c>
      <c r="AG46" s="697">
        <v>0</v>
      </c>
      <c r="AH46" s="697">
        <v>0</v>
      </c>
      <c r="AI46" s="697">
        <v>0</v>
      </c>
      <c r="AJ46" s="697">
        <v>0</v>
      </c>
      <c r="AK46" s="697">
        <v>0</v>
      </c>
      <c r="AL46" s="697">
        <v>0</v>
      </c>
      <c r="AM46" s="697">
        <v>0</v>
      </c>
      <c r="AN46" s="697">
        <v>0</v>
      </c>
      <c r="AO46" s="697">
        <v>0</v>
      </c>
      <c r="AP46" s="697">
        <v>0</v>
      </c>
      <c r="AQ46" s="697">
        <v>0</v>
      </c>
      <c r="AR46" s="697">
        <v>0</v>
      </c>
      <c r="AS46" s="697">
        <v>0</v>
      </c>
      <c r="AT46" s="697">
        <v>0</v>
      </c>
      <c r="AU46" s="697">
        <v>0</v>
      </c>
      <c r="AV46" s="697">
        <v>0</v>
      </c>
      <c r="AW46" s="697">
        <v>0</v>
      </c>
      <c r="AX46" s="697">
        <v>0</v>
      </c>
      <c r="AY46" s="697">
        <v>0</v>
      </c>
      <c r="AZ46" s="697">
        <v>0</v>
      </c>
      <c r="BA46" s="697">
        <v>0</v>
      </c>
      <c r="BB46" s="697">
        <v>0</v>
      </c>
      <c r="BC46" s="697">
        <v>0</v>
      </c>
      <c r="BD46" s="697">
        <v>0</v>
      </c>
      <c r="BE46" s="697">
        <v>0</v>
      </c>
      <c r="BF46" s="697">
        <v>0</v>
      </c>
      <c r="BG46" s="697">
        <f t="shared" si="5"/>
        <v>0</v>
      </c>
      <c r="BH46" s="697">
        <f t="shared" si="5"/>
        <v>0</v>
      </c>
      <c r="BI46" s="697">
        <f t="shared" si="5"/>
        <v>0</v>
      </c>
      <c r="BJ46" s="697">
        <f t="shared" si="5"/>
        <v>0</v>
      </c>
      <c r="BK46" s="701">
        <f>+SUM(BG43:BG45)-B43</f>
        <v>0</v>
      </c>
    </row>
    <row r="47" spans="1:64" ht="45.75" customHeight="1" x14ac:dyDescent="0.25">
      <c r="A47" s="607" t="s">
        <v>2208</v>
      </c>
      <c r="B47" s="693">
        <f t="shared" ref="B47:AD47" si="20">SUM(B48:B50)</f>
        <v>16304562963.220001</v>
      </c>
      <c r="C47" s="693">
        <f t="shared" si="20"/>
        <v>16813600</v>
      </c>
      <c r="D47" s="693">
        <f t="shared" si="20"/>
        <v>16813600</v>
      </c>
      <c r="E47" s="693">
        <f t="shared" si="20"/>
        <v>16813600</v>
      </c>
      <c r="F47" s="693">
        <f t="shared" si="20"/>
        <v>16813600</v>
      </c>
      <c r="G47" s="693">
        <f t="shared" si="20"/>
        <v>0</v>
      </c>
      <c r="H47" s="693">
        <f t="shared" si="20"/>
        <v>0</v>
      </c>
      <c r="I47" s="693">
        <f t="shared" si="20"/>
        <v>0</v>
      </c>
      <c r="J47" s="693">
        <f t="shared" si="20"/>
        <v>0</v>
      </c>
      <c r="K47" s="693">
        <f t="shared" si="20"/>
        <v>0</v>
      </c>
      <c r="L47" s="693">
        <f t="shared" si="20"/>
        <v>0</v>
      </c>
      <c r="M47" s="693">
        <f t="shared" si="20"/>
        <v>0</v>
      </c>
      <c r="N47" s="693">
        <f t="shared" si="20"/>
        <v>0</v>
      </c>
      <c r="O47" s="693">
        <f t="shared" si="20"/>
        <v>0</v>
      </c>
      <c r="P47" s="693">
        <f t="shared" si="20"/>
        <v>0</v>
      </c>
      <c r="Q47" s="693">
        <f t="shared" si="20"/>
        <v>0</v>
      </c>
      <c r="R47" s="693">
        <f t="shared" si="20"/>
        <v>0</v>
      </c>
      <c r="S47" s="693">
        <f t="shared" si="20"/>
        <v>0</v>
      </c>
      <c r="T47" s="693">
        <f t="shared" si="20"/>
        <v>0</v>
      </c>
      <c r="U47" s="693">
        <f t="shared" si="20"/>
        <v>0</v>
      </c>
      <c r="V47" s="693">
        <f t="shared" si="20"/>
        <v>0</v>
      </c>
      <c r="W47" s="693">
        <f>SUM(W48:W50)</f>
        <v>16287749363.220001</v>
      </c>
      <c r="X47" s="693">
        <f>SUM(X48:X50)</f>
        <v>16267755780</v>
      </c>
      <c r="Y47" s="693">
        <f>SUM(Y48:Y50)</f>
        <v>8820950359.1999989</v>
      </c>
      <c r="Z47" s="693">
        <f t="shared" si="20"/>
        <v>8820950359.1999989</v>
      </c>
      <c r="AA47" s="693">
        <f t="shared" si="20"/>
        <v>0</v>
      </c>
      <c r="AB47" s="693">
        <f t="shared" si="20"/>
        <v>0</v>
      </c>
      <c r="AC47" s="693">
        <f t="shared" si="20"/>
        <v>0</v>
      </c>
      <c r="AD47" s="693">
        <f t="shared" si="20"/>
        <v>0</v>
      </c>
      <c r="AE47" s="693">
        <f t="shared" ref="AE47:BF47" si="21">SUM(AE48:AE50)</f>
        <v>0</v>
      </c>
      <c r="AF47" s="693">
        <f t="shared" si="21"/>
        <v>0</v>
      </c>
      <c r="AG47" s="693">
        <f t="shared" si="21"/>
        <v>0</v>
      </c>
      <c r="AH47" s="693">
        <f t="shared" si="21"/>
        <v>0</v>
      </c>
      <c r="AI47" s="693">
        <f t="shared" si="21"/>
        <v>0</v>
      </c>
      <c r="AJ47" s="693">
        <f t="shared" si="21"/>
        <v>0</v>
      </c>
      <c r="AK47" s="693">
        <f t="shared" si="21"/>
        <v>0</v>
      </c>
      <c r="AL47" s="693">
        <f t="shared" si="21"/>
        <v>0</v>
      </c>
      <c r="AM47" s="693">
        <f t="shared" si="21"/>
        <v>0</v>
      </c>
      <c r="AN47" s="693">
        <f t="shared" si="21"/>
        <v>0</v>
      </c>
      <c r="AO47" s="693">
        <f t="shared" si="21"/>
        <v>0</v>
      </c>
      <c r="AP47" s="693">
        <f t="shared" si="21"/>
        <v>0</v>
      </c>
      <c r="AQ47" s="693">
        <f t="shared" si="21"/>
        <v>0</v>
      </c>
      <c r="AR47" s="693">
        <f t="shared" si="21"/>
        <v>0</v>
      </c>
      <c r="AS47" s="693">
        <f t="shared" si="21"/>
        <v>0</v>
      </c>
      <c r="AT47" s="693">
        <f t="shared" si="21"/>
        <v>0</v>
      </c>
      <c r="AU47" s="693">
        <f t="shared" si="21"/>
        <v>0</v>
      </c>
      <c r="AV47" s="693">
        <f t="shared" si="21"/>
        <v>0</v>
      </c>
      <c r="AW47" s="693">
        <f t="shared" si="21"/>
        <v>0</v>
      </c>
      <c r="AX47" s="693">
        <f t="shared" si="21"/>
        <v>0</v>
      </c>
      <c r="AY47" s="693">
        <f t="shared" si="21"/>
        <v>0</v>
      </c>
      <c r="AZ47" s="693">
        <f t="shared" si="21"/>
        <v>0</v>
      </c>
      <c r="BA47" s="693">
        <f t="shared" si="21"/>
        <v>0</v>
      </c>
      <c r="BB47" s="693">
        <f t="shared" si="21"/>
        <v>0</v>
      </c>
      <c r="BC47" s="693">
        <f t="shared" si="21"/>
        <v>0</v>
      </c>
      <c r="BD47" s="693">
        <f t="shared" si="21"/>
        <v>0</v>
      </c>
      <c r="BE47" s="693">
        <f t="shared" si="21"/>
        <v>0</v>
      </c>
      <c r="BF47" s="693">
        <f t="shared" si="21"/>
        <v>0</v>
      </c>
      <c r="BG47" s="693">
        <f t="shared" si="5"/>
        <v>16304562963.220001</v>
      </c>
      <c r="BH47" s="693">
        <f t="shared" si="5"/>
        <v>16284569380</v>
      </c>
      <c r="BI47" s="693">
        <f t="shared" si="5"/>
        <v>8837763959.1999989</v>
      </c>
      <c r="BJ47" s="693">
        <f t="shared" si="5"/>
        <v>8837763959.1999989</v>
      </c>
      <c r="BK47" s="694">
        <f>+SUM(BG48:BG50)-BG47</f>
        <v>0</v>
      </c>
      <c r="BL47" s="695">
        <f>+BG47-B47</f>
        <v>0</v>
      </c>
    </row>
    <row r="48" spans="1:64" ht="45.75" customHeight="1" x14ac:dyDescent="0.25">
      <c r="A48" s="703" t="s">
        <v>2209</v>
      </c>
      <c r="B48" s="933">
        <f>16813600+1618721090.77+10169028272.45+4500000000</f>
        <v>16304562963.220001</v>
      </c>
      <c r="C48" s="704">
        <v>16813600</v>
      </c>
      <c r="D48" s="704">
        <v>16813600</v>
      </c>
      <c r="E48" s="704">
        <v>16813600</v>
      </c>
      <c r="F48" s="704">
        <v>16813600</v>
      </c>
      <c r="G48" s="700">
        <v>0</v>
      </c>
      <c r="H48" s="700">
        <v>0</v>
      </c>
      <c r="I48" s="700">
        <v>0</v>
      </c>
      <c r="J48" s="700">
        <v>0</v>
      </c>
      <c r="K48" s="700">
        <v>0</v>
      </c>
      <c r="L48" s="700">
        <v>0</v>
      </c>
      <c r="M48" s="700">
        <v>0</v>
      </c>
      <c r="N48" s="700">
        <v>0</v>
      </c>
      <c r="O48" s="700">
        <v>0</v>
      </c>
      <c r="P48" s="700">
        <v>0</v>
      </c>
      <c r="Q48" s="700">
        <v>0</v>
      </c>
      <c r="R48" s="700">
        <v>0</v>
      </c>
      <c r="S48" s="700">
        <v>0</v>
      </c>
      <c r="T48" s="700">
        <v>0</v>
      </c>
      <c r="U48" s="700">
        <v>0</v>
      </c>
      <c r="V48" s="700">
        <v>0</v>
      </c>
      <c r="W48" s="704">
        <v>1618721090.77</v>
      </c>
      <c r="X48" s="704">
        <v>1617958351</v>
      </c>
      <c r="Y48" s="704">
        <v>1287379266.3</v>
      </c>
      <c r="Z48" s="704">
        <v>1287379266.3</v>
      </c>
      <c r="AA48" s="700">
        <v>0</v>
      </c>
      <c r="AB48" s="700">
        <v>0</v>
      </c>
      <c r="AC48" s="700">
        <v>0</v>
      </c>
      <c r="AD48" s="700">
        <v>0</v>
      </c>
      <c r="AE48" s="700">
        <v>0</v>
      </c>
      <c r="AF48" s="700">
        <v>0</v>
      </c>
      <c r="AG48" s="700">
        <v>0</v>
      </c>
      <c r="AH48" s="700">
        <v>0</v>
      </c>
      <c r="AI48" s="700">
        <v>0</v>
      </c>
      <c r="AJ48" s="700">
        <v>0</v>
      </c>
      <c r="AK48" s="700">
        <v>0</v>
      </c>
      <c r="AL48" s="700">
        <v>0</v>
      </c>
      <c r="AM48" s="700">
        <v>0</v>
      </c>
      <c r="AN48" s="700">
        <v>0</v>
      </c>
      <c r="AO48" s="700">
        <v>0</v>
      </c>
      <c r="AP48" s="700">
        <v>0</v>
      </c>
      <c r="AQ48" s="700">
        <v>0</v>
      </c>
      <c r="AR48" s="700">
        <v>0</v>
      </c>
      <c r="AS48" s="700">
        <v>0</v>
      </c>
      <c r="AT48" s="700">
        <v>0</v>
      </c>
      <c r="AU48" s="700">
        <v>0</v>
      </c>
      <c r="AV48" s="700">
        <v>0</v>
      </c>
      <c r="AW48" s="700">
        <v>0</v>
      </c>
      <c r="AX48" s="700">
        <v>0</v>
      </c>
      <c r="AY48" s="700">
        <v>0</v>
      </c>
      <c r="AZ48" s="700">
        <v>0</v>
      </c>
      <c r="BA48" s="700">
        <v>0</v>
      </c>
      <c r="BB48" s="700">
        <v>0</v>
      </c>
      <c r="BC48" s="700">
        <v>0</v>
      </c>
      <c r="BD48" s="700">
        <v>0</v>
      </c>
      <c r="BE48" s="700">
        <v>0</v>
      </c>
      <c r="BF48" s="700">
        <v>0</v>
      </c>
      <c r="BG48" s="704">
        <f t="shared" si="5"/>
        <v>1635534690.77</v>
      </c>
      <c r="BH48" s="704">
        <f t="shared" si="5"/>
        <v>1634771951</v>
      </c>
      <c r="BI48" s="704">
        <f t="shared" si="5"/>
        <v>1304192866.3</v>
      </c>
      <c r="BJ48" s="704">
        <f t="shared" si="5"/>
        <v>1304192866.3</v>
      </c>
      <c r="BK48" s="690"/>
    </row>
    <row r="49" spans="1:64" ht="45.75" customHeight="1" x14ac:dyDescent="0.25">
      <c r="A49" s="696" t="s">
        <v>2210</v>
      </c>
      <c r="B49" s="934"/>
      <c r="C49" s="697">
        <v>0</v>
      </c>
      <c r="D49" s="697">
        <v>0</v>
      </c>
      <c r="E49" s="697">
        <v>0</v>
      </c>
      <c r="F49" s="697">
        <v>0</v>
      </c>
      <c r="G49" s="697">
        <v>0</v>
      </c>
      <c r="H49" s="697">
        <v>0</v>
      </c>
      <c r="I49" s="697">
        <v>0</v>
      </c>
      <c r="J49" s="697">
        <v>0</v>
      </c>
      <c r="K49" s="697">
        <v>0</v>
      </c>
      <c r="L49" s="697">
        <v>0</v>
      </c>
      <c r="M49" s="697">
        <v>0</v>
      </c>
      <c r="N49" s="697">
        <v>0</v>
      </c>
      <c r="O49" s="697">
        <v>0</v>
      </c>
      <c r="P49" s="697">
        <v>0</v>
      </c>
      <c r="Q49" s="697">
        <v>0</v>
      </c>
      <c r="R49" s="697">
        <v>0</v>
      </c>
      <c r="S49" s="697">
        <v>0</v>
      </c>
      <c r="T49" s="697">
        <v>0</v>
      </c>
      <c r="U49" s="697">
        <v>0</v>
      </c>
      <c r="V49" s="697">
        <v>0</v>
      </c>
      <c r="W49" s="697">
        <v>0</v>
      </c>
      <c r="X49" s="697">
        <v>0</v>
      </c>
      <c r="Y49" s="697">
        <v>0</v>
      </c>
      <c r="Z49" s="697">
        <v>0</v>
      </c>
      <c r="AA49" s="697">
        <v>0</v>
      </c>
      <c r="AB49" s="697">
        <v>0</v>
      </c>
      <c r="AC49" s="697">
        <v>0</v>
      </c>
      <c r="AD49" s="697">
        <v>0</v>
      </c>
      <c r="AE49" s="697">
        <v>0</v>
      </c>
      <c r="AF49" s="697">
        <v>0</v>
      </c>
      <c r="AG49" s="697">
        <v>0</v>
      </c>
      <c r="AH49" s="697">
        <v>0</v>
      </c>
      <c r="AI49" s="697">
        <v>0</v>
      </c>
      <c r="AJ49" s="697">
        <v>0</v>
      </c>
      <c r="AK49" s="697">
        <v>0</v>
      </c>
      <c r="AL49" s="697">
        <v>0</v>
      </c>
      <c r="AM49" s="697">
        <v>0</v>
      </c>
      <c r="AN49" s="697">
        <v>0</v>
      </c>
      <c r="AO49" s="697">
        <v>0</v>
      </c>
      <c r="AP49" s="697">
        <v>0</v>
      </c>
      <c r="AQ49" s="697">
        <v>0</v>
      </c>
      <c r="AR49" s="697">
        <v>0</v>
      </c>
      <c r="AS49" s="697">
        <v>0</v>
      </c>
      <c r="AT49" s="697">
        <v>0</v>
      </c>
      <c r="AU49" s="697">
        <v>0</v>
      </c>
      <c r="AV49" s="697">
        <v>0</v>
      </c>
      <c r="AW49" s="697">
        <v>0</v>
      </c>
      <c r="AX49" s="697">
        <v>0</v>
      </c>
      <c r="AY49" s="697">
        <v>0</v>
      </c>
      <c r="AZ49" s="697">
        <v>0</v>
      </c>
      <c r="BA49" s="697">
        <v>0</v>
      </c>
      <c r="BB49" s="697">
        <v>0</v>
      </c>
      <c r="BC49" s="697">
        <v>0</v>
      </c>
      <c r="BD49" s="697">
        <v>0</v>
      </c>
      <c r="BE49" s="697">
        <v>0</v>
      </c>
      <c r="BF49" s="697">
        <v>0</v>
      </c>
      <c r="BG49" s="697">
        <f t="shared" si="5"/>
        <v>0</v>
      </c>
      <c r="BH49" s="697">
        <f t="shared" si="5"/>
        <v>0</v>
      </c>
      <c r="BI49" s="697">
        <f t="shared" si="5"/>
        <v>0</v>
      </c>
      <c r="BJ49" s="697">
        <f t="shared" si="5"/>
        <v>0</v>
      </c>
      <c r="BK49" s="690"/>
    </row>
    <row r="50" spans="1:64" ht="45.75" customHeight="1" x14ac:dyDescent="0.25">
      <c r="A50" s="703" t="s">
        <v>2211</v>
      </c>
      <c r="B50" s="935"/>
      <c r="C50" s="700">
        <v>0</v>
      </c>
      <c r="D50" s="700">
        <v>0</v>
      </c>
      <c r="E50" s="700">
        <v>0</v>
      </c>
      <c r="F50" s="700">
        <v>0</v>
      </c>
      <c r="G50" s="700">
        <v>0</v>
      </c>
      <c r="H50" s="700">
        <v>0</v>
      </c>
      <c r="I50" s="700">
        <v>0</v>
      </c>
      <c r="J50" s="700">
        <v>0</v>
      </c>
      <c r="K50" s="700">
        <v>0</v>
      </c>
      <c r="L50" s="700">
        <v>0</v>
      </c>
      <c r="M50" s="700">
        <v>0</v>
      </c>
      <c r="N50" s="700">
        <v>0</v>
      </c>
      <c r="O50" s="700">
        <v>0</v>
      </c>
      <c r="P50" s="700">
        <v>0</v>
      </c>
      <c r="Q50" s="700">
        <v>0</v>
      </c>
      <c r="R50" s="700">
        <v>0</v>
      </c>
      <c r="S50" s="700">
        <v>0</v>
      </c>
      <c r="T50" s="700">
        <v>0</v>
      </c>
      <c r="U50" s="700">
        <v>0</v>
      </c>
      <c r="V50" s="700">
        <v>0</v>
      </c>
      <c r="W50" s="704">
        <f>10169028272.45+4500000000</f>
        <v>14669028272.450001</v>
      </c>
      <c r="X50" s="704">
        <f>10166037623+4483759806</f>
        <v>14649797429</v>
      </c>
      <c r="Y50" s="704">
        <f>3049811286.9+4483759806</f>
        <v>7533571092.8999996</v>
      </c>
      <c r="Z50" s="704">
        <f>3049811286.9+4483759806</f>
        <v>7533571092.8999996</v>
      </c>
      <c r="AA50" s="700">
        <v>0</v>
      </c>
      <c r="AB50" s="700">
        <v>0</v>
      </c>
      <c r="AC50" s="700">
        <v>0</v>
      </c>
      <c r="AD50" s="700">
        <v>0</v>
      </c>
      <c r="AE50" s="700">
        <v>0</v>
      </c>
      <c r="AF50" s="700">
        <v>0</v>
      </c>
      <c r="AG50" s="700">
        <v>0</v>
      </c>
      <c r="AH50" s="700">
        <v>0</v>
      </c>
      <c r="AI50" s="700">
        <v>0</v>
      </c>
      <c r="AJ50" s="700">
        <v>0</v>
      </c>
      <c r="AK50" s="700">
        <v>0</v>
      </c>
      <c r="AL50" s="700">
        <v>0</v>
      </c>
      <c r="AM50" s="700">
        <v>0</v>
      </c>
      <c r="AN50" s="700">
        <v>0</v>
      </c>
      <c r="AO50" s="700">
        <v>0</v>
      </c>
      <c r="AP50" s="700">
        <v>0</v>
      </c>
      <c r="AQ50" s="700">
        <v>0</v>
      </c>
      <c r="AR50" s="700">
        <v>0</v>
      </c>
      <c r="AS50" s="700">
        <v>0</v>
      </c>
      <c r="AT50" s="700">
        <v>0</v>
      </c>
      <c r="AU50" s="700">
        <v>0</v>
      </c>
      <c r="AV50" s="700">
        <v>0</v>
      </c>
      <c r="AW50" s="700">
        <v>0</v>
      </c>
      <c r="AX50" s="700">
        <v>0</v>
      </c>
      <c r="AY50" s="700">
        <v>0</v>
      </c>
      <c r="AZ50" s="700">
        <v>0</v>
      </c>
      <c r="BA50" s="700">
        <v>0</v>
      </c>
      <c r="BB50" s="700">
        <v>0</v>
      </c>
      <c r="BC50" s="700">
        <v>0</v>
      </c>
      <c r="BD50" s="700">
        <v>0</v>
      </c>
      <c r="BE50" s="700">
        <v>0</v>
      </c>
      <c r="BF50" s="700">
        <v>0</v>
      </c>
      <c r="BG50" s="704">
        <f t="shared" si="5"/>
        <v>14669028272.450001</v>
      </c>
      <c r="BH50" s="704">
        <f t="shared" si="5"/>
        <v>14649797429</v>
      </c>
      <c r="BI50" s="704">
        <f t="shared" si="5"/>
        <v>7533571092.8999996</v>
      </c>
      <c r="BJ50" s="704">
        <f t="shared" si="5"/>
        <v>7533571092.8999996</v>
      </c>
      <c r="BK50" s="701">
        <f>+SUM(BG48:BG50)-B48</f>
        <v>0</v>
      </c>
    </row>
    <row r="51" spans="1:64" s="687" customFormat="1" ht="45.75" customHeight="1" x14ac:dyDescent="0.25">
      <c r="A51" s="684" t="s">
        <v>1971</v>
      </c>
      <c r="B51" s="685">
        <f>+B52</f>
        <v>51727520792.610001</v>
      </c>
      <c r="C51" s="685">
        <f t="shared" ref="C51:BF51" si="22">+C52</f>
        <v>2002184922.1600001</v>
      </c>
      <c r="D51" s="685">
        <f t="shared" si="22"/>
        <v>1994374359.1600001</v>
      </c>
      <c r="E51" s="685">
        <f t="shared" si="22"/>
        <v>1989394657.3499999</v>
      </c>
      <c r="F51" s="685">
        <f t="shared" si="22"/>
        <v>1989394657.3499999</v>
      </c>
      <c r="G51" s="685">
        <f t="shared" si="22"/>
        <v>434585880</v>
      </c>
      <c r="H51" s="685">
        <f t="shared" si="22"/>
        <v>410552686</v>
      </c>
      <c r="I51" s="685">
        <f t="shared" si="22"/>
        <v>410552686</v>
      </c>
      <c r="J51" s="685">
        <f t="shared" si="22"/>
        <v>410552686</v>
      </c>
      <c r="K51" s="685">
        <f t="shared" si="22"/>
        <v>0</v>
      </c>
      <c r="L51" s="685">
        <f t="shared" si="22"/>
        <v>0</v>
      </c>
      <c r="M51" s="685">
        <f t="shared" si="22"/>
        <v>0</v>
      </c>
      <c r="N51" s="685">
        <f t="shared" si="22"/>
        <v>0</v>
      </c>
      <c r="O51" s="685">
        <f t="shared" si="22"/>
        <v>0</v>
      </c>
      <c r="P51" s="685">
        <f t="shared" si="22"/>
        <v>0</v>
      </c>
      <c r="Q51" s="685">
        <f t="shared" si="22"/>
        <v>0</v>
      </c>
      <c r="R51" s="685">
        <f t="shared" si="22"/>
        <v>0</v>
      </c>
      <c r="S51" s="685">
        <f t="shared" si="22"/>
        <v>0</v>
      </c>
      <c r="T51" s="685">
        <f t="shared" si="22"/>
        <v>0</v>
      </c>
      <c r="U51" s="685">
        <f t="shared" si="22"/>
        <v>0</v>
      </c>
      <c r="V51" s="685">
        <f t="shared" si="22"/>
        <v>0</v>
      </c>
      <c r="W51" s="685">
        <f t="shared" si="22"/>
        <v>46146370401.150002</v>
      </c>
      <c r="X51" s="685">
        <f t="shared" si="22"/>
        <v>46132360556.5</v>
      </c>
      <c r="Y51" s="685">
        <f t="shared" si="22"/>
        <v>26756100432.939999</v>
      </c>
      <c r="Z51" s="685">
        <f t="shared" si="22"/>
        <v>26756100432.939999</v>
      </c>
      <c r="AA51" s="685">
        <f t="shared" si="22"/>
        <v>0</v>
      </c>
      <c r="AB51" s="685">
        <f t="shared" si="22"/>
        <v>0</v>
      </c>
      <c r="AC51" s="685">
        <f t="shared" si="22"/>
        <v>0</v>
      </c>
      <c r="AD51" s="685">
        <f t="shared" si="22"/>
        <v>0</v>
      </c>
      <c r="AE51" s="685">
        <f t="shared" si="22"/>
        <v>350731033.30000001</v>
      </c>
      <c r="AF51" s="685">
        <f t="shared" si="22"/>
        <v>290000000</v>
      </c>
      <c r="AG51" s="685">
        <f t="shared" si="22"/>
        <v>15000000</v>
      </c>
      <c r="AH51" s="685">
        <f t="shared" si="22"/>
        <v>0</v>
      </c>
      <c r="AI51" s="685">
        <f t="shared" si="22"/>
        <v>0</v>
      </c>
      <c r="AJ51" s="685">
        <f t="shared" si="22"/>
        <v>0</v>
      </c>
      <c r="AK51" s="685">
        <f t="shared" si="22"/>
        <v>0</v>
      </c>
      <c r="AL51" s="685">
        <f t="shared" si="22"/>
        <v>0</v>
      </c>
      <c r="AM51" s="685">
        <f t="shared" si="22"/>
        <v>2793648556</v>
      </c>
      <c r="AN51" s="685">
        <f t="shared" si="22"/>
        <v>2793076754</v>
      </c>
      <c r="AO51" s="685">
        <f t="shared" si="22"/>
        <v>0</v>
      </c>
      <c r="AP51" s="685">
        <f t="shared" si="22"/>
        <v>0</v>
      </c>
      <c r="AQ51" s="685">
        <f t="shared" si="22"/>
        <v>0</v>
      </c>
      <c r="AR51" s="685">
        <f t="shared" si="22"/>
        <v>0</v>
      </c>
      <c r="AS51" s="685">
        <f t="shared" si="22"/>
        <v>0</v>
      </c>
      <c r="AT51" s="685">
        <f t="shared" si="22"/>
        <v>0</v>
      </c>
      <c r="AU51" s="685">
        <f t="shared" si="22"/>
        <v>0</v>
      </c>
      <c r="AV51" s="685">
        <f t="shared" si="22"/>
        <v>0</v>
      </c>
      <c r="AW51" s="685">
        <f t="shared" si="22"/>
        <v>0</v>
      </c>
      <c r="AX51" s="685">
        <f t="shared" si="22"/>
        <v>0</v>
      </c>
      <c r="AY51" s="685">
        <f t="shared" si="22"/>
        <v>0</v>
      </c>
      <c r="AZ51" s="685">
        <f t="shared" si="22"/>
        <v>0</v>
      </c>
      <c r="BA51" s="685">
        <f t="shared" si="22"/>
        <v>0</v>
      </c>
      <c r="BB51" s="685">
        <f t="shared" si="22"/>
        <v>0</v>
      </c>
      <c r="BC51" s="685">
        <f t="shared" si="22"/>
        <v>0</v>
      </c>
      <c r="BD51" s="685">
        <f t="shared" si="22"/>
        <v>0</v>
      </c>
      <c r="BE51" s="685">
        <f t="shared" si="22"/>
        <v>0</v>
      </c>
      <c r="BF51" s="685">
        <f t="shared" si="22"/>
        <v>0</v>
      </c>
      <c r="BG51" s="685">
        <f t="shared" si="5"/>
        <v>51727520792.610001</v>
      </c>
      <c r="BH51" s="685">
        <f t="shared" si="5"/>
        <v>51620364355.660004</v>
      </c>
      <c r="BI51" s="685">
        <f t="shared" si="5"/>
        <v>29171047776.289997</v>
      </c>
      <c r="BJ51" s="685">
        <f t="shared" si="5"/>
        <v>29156047776.289997</v>
      </c>
      <c r="BK51" s="686"/>
    </row>
    <row r="52" spans="1:64" ht="45.75" customHeight="1" x14ac:dyDescent="0.25">
      <c r="A52" s="688" t="s">
        <v>2212</v>
      </c>
      <c r="B52" s="689">
        <f t="shared" ref="B52:BF52" si="23">+B53+B57+B63</f>
        <v>51727520792.610001</v>
      </c>
      <c r="C52" s="689">
        <f t="shared" si="23"/>
        <v>2002184922.1600001</v>
      </c>
      <c r="D52" s="689">
        <f t="shared" si="23"/>
        <v>1994374359.1600001</v>
      </c>
      <c r="E52" s="689">
        <f t="shared" si="23"/>
        <v>1989394657.3499999</v>
      </c>
      <c r="F52" s="689">
        <f t="shared" si="23"/>
        <v>1989394657.3499999</v>
      </c>
      <c r="G52" s="689">
        <f t="shared" si="23"/>
        <v>434585880</v>
      </c>
      <c r="H52" s="689">
        <f t="shared" si="23"/>
        <v>410552686</v>
      </c>
      <c r="I52" s="689">
        <f t="shared" si="23"/>
        <v>410552686</v>
      </c>
      <c r="J52" s="689">
        <f t="shared" si="23"/>
        <v>410552686</v>
      </c>
      <c r="K52" s="689">
        <f t="shared" si="23"/>
        <v>0</v>
      </c>
      <c r="L52" s="689">
        <f t="shared" si="23"/>
        <v>0</v>
      </c>
      <c r="M52" s="689">
        <f t="shared" si="23"/>
        <v>0</v>
      </c>
      <c r="N52" s="689">
        <f t="shared" si="23"/>
        <v>0</v>
      </c>
      <c r="O52" s="689">
        <f t="shared" si="23"/>
        <v>0</v>
      </c>
      <c r="P52" s="689">
        <f t="shared" si="23"/>
        <v>0</v>
      </c>
      <c r="Q52" s="689">
        <f t="shared" si="23"/>
        <v>0</v>
      </c>
      <c r="R52" s="689">
        <f t="shared" si="23"/>
        <v>0</v>
      </c>
      <c r="S52" s="689">
        <f t="shared" si="23"/>
        <v>0</v>
      </c>
      <c r="T52" s="689">
        <f t="shared" si="23"/>
        <v>0</v>
      </c>
      <c r="U52" s="689">
        <f t="shared" si="23"/>
        <v>0</v>
      </c>
      <c r="V52" s="689">
        <f t="shared" si="23"/>
        <v>0</v>
      </c>
      <c r="W52" s="689">
        <f t="shared" si="23"/>
        <v>46146370401.150002</v>
      </c>
      <c r="X52" s="689">
        <f t="shared" si="23"/>
        <v>46132360556.5</v>
      </c>
      <c r="Y52" s="689">
        <f t="shared" si="23"/>
        <v>26756100432.939999</v>
      </c>
      <c r="Z52" s="689">
        <f t="shared" si="23"/>
        <v>26756100432.939999</v>
      </c>
      <c r="AA52" s="689">
        <f t="shared" si="23"/>
        <v>0</v>
      </c>
      <c r="AB52" s="689">
        <f t="shared" si="23"/>
        <v>0</v>
      </c>
      <c r="AC52" s="689">
        <f t="shared" si="23"/>
        <v>0</v>
      </c>
      <c r="AD52" s="689">
        <f t="shared" si="23"/>
        <v>0</v>
      </c>
      <c r="AE52" s="689">
        <f t="shared" si="23"/>
        <v>350731033.30000001</v>
      </c>
      <c r="AF52" s="689">
        <f t="shared" si="23"/>
        <v>290000000</v>
      </c>
      <c r="AG52" s="689">
        <f t="shared" si="23"/>
        <v>15000000</v>
      </c>
      <c r="AH52" s="689">
        <f t="shared" si="23"/>
        <v>0</v>
      </c>
      <c r="AI52" s="689">
        <f t="shared" si="23"/>
        <v>0</v>
      </c>
      <c r="AJ52" s="689">
        <f t="shared" si="23"/>
        <v>0</v>
      </c>
      <c r="AK52" s="689">
        <f t="shared" si="23"/>
        <v>0</v>
      </c>
      <c r="AL52" s="689">
        <f t="shared" si="23"/>
        <v>0</v>
      </c>
      <c r="AM52" s="689">
        <f t="shared" si="23"/>
        <v>2793648556</v>
      </c>
      <c r="AN52" s="689">
        <f t="shared" si="23"/>
        <v>2793076754</v>
      </c>
      <c r="AO52" s="689">
        <f t="shared" si="23"/>
        <v>0</v>
      </c>
      <c r="AP52" s="689">
        <f t="shared" si="23"/>
        <v>0</v>
      </c>
      <c r="AQ52" s="689">
        <f t="shared" si="23"/>
        <v>0</v>
      </c>
      <c r="AR52" s="689">
        <f t="shared" si="23"/>
        <v>0</v>
      </c>
      <c r="AS52" s="689">
        <f t="shared" si="23"/>
        <v>0</v>
      </c>
      <c r="AT52" s="689">
        <f t="shared" si="23"/>
        <v>0</v>
      </c>
      <c r="AU52" s="689">
        <f t="shared" si="23"/>
        <v>0</v>
      </c>
      <c r="AV52" s="689">
        <f t="shared" si="23"/>
        <v>0</v>
      </c>
      <c r="AW52" s="689">
        <f t="shared" si="23"/>
        <v>0</v>
      </c>
      <c r="AX52" s="689">
        <f t="shared" si="23"/>
        <v>0</v>
      </c>
      <c r="AY52" s="689">
        <f t="shared" si="23"/>
        <v>0</v>
      </c>
      <c r="AZ52" s="689">
        <f t="shared" si="23"/>
        <v>0</v>
      </c>
      <c r="BA52" s="689">
        <f t="shared" si="23"/>
        <v>0</v>
      </c>
      <c r="BB52" s="689">
        <f t="shared" si="23"/>
        <v>0</v>
      </c>
      <c r="BC52" s="689">
        <f t="shared" si="23"/>
        <v>0</v>
      </c>
      <c r="BD52" s="689">
        <f t="shared" si="23"/>
        <v>0</v>
      </c>
      <c r="BE52" s="689">
        <f t="shared" si="23"/>
        <v>0</v>
      </c>
      <c r="BF52" s="689">
        <f t="shared" si="23"/>
        <v>0</v>
      </c>
      <c r="BG52" s="689">
        <f t="shared" si="5"/>
        <v>51727520792.610001</v>
      </c>
      <c r="BH52" s="689">
        <f t="shared" si="5"/>
        <v>51620364355.660004</v>
      </c>
      <c r="BI52" s="689">
        <f t="shared" si="5"/>
        <v>29171047776.289997</v>
      </c>
      <c r="BJ52" s="689">
        <f t="shared" si="5"/>
        <v>29156047776.289997</v>
      </c>
      <c r="BK52" s="690"/>
    </row>
    <row r="53" spans="1:64" ht="45.75" customHeight="1" x14ac:dyDescent="0.25">
      <c r="A53" s="607" t="s">
        <v>2213</v>
      </c>
      <c r="B53" s="693">
        <f t="shared" ref="B53:AD53" si="24">SUM(B54:B56)</f>
        <v>346946019.30000001</v>
      </c>
      <c r="C53" s="693">
        <f t="shared" si="24"/>
        <v>198188746</v>
      </c>
      <c r="D53" s="693">
        <f t="shared" si="24"/>
        <v>197740584</v>
      </c>
      <c r="E53" s="693">
        <f t="shared" si="24"/>
        <v>197740584</v>
      </c>
      <c r="F53" s="693">
        <f t="shared" si="24"/>
        <v>197740584</v>
      </c>
      <c r="G53" s="693">
        <f t="shared" si="24"/>
        <v>88026240</v>
      </c>
      <c r="H53" s="693">
        <f t="shared" si="24"/>
        <v>68026240</v>
      </c>
      <c r="I53" s="693">
        <f t="shared" si="24"/>
        <v>68026240</v>
      </c>
      <c r="J53" s="693">
        <f t="shared" si="24"/>
        <v>68026240</v>
      </c>
      <c r="K53" s="693">
        <f t="shared" si="24"/>
        <v>0</v>
      </c>
      <c r="L53" s="693">
        <f t="shared" si="24"/>
        <v>0</v>
      </c>
      <c r="M53" s="693">
        <f t="shared" si="24"/>
        <v>0</v>
      </c>
      <c r="N53" s="693">
        <f t="shared" si="24"/>
        <v>0</v>
      </c>
      <c r="O53" s="693">
        <f t="shared" si="24"/>
        <v>0</v>
      </c>
      <c r="P53" s="693">
        <f t="shared" si="24"/>
        <v>0</v>
      </c>
      <c r="Q53" s="693">
        <f t="shared" si="24"/>
        <v>0</v>
      </c>
      <c r="R53" s="693">
        <f t="shared" si="24"/>
        <v>0</v>
      </c>
      <c r="S53" s="693">
        <f t="shared" si="24"/>
        <v>0</v>
      </c>
      <c r="T53" s="693">
        <f t="shared" si="24"/>
        <v>0</v>
      </c>
      <c r="U53" s="693">
        <f t="shared" si="24"/>
        <v>0</v>
      </c>
      <c r="V53" s="693">
        <f t="shared" si="24"/>
        <v>0</v>
      </c>
      <c r="W53" s="693">
        <f t="shared" si="24"/>
        <v>0</v>
      </c>
      <c r="X53" s="693">
        <f t="shared" si="24"/>
        <v>0</v>
      </c>
      <c r="Y53" s="693">
        <f t="shared" si="24"/>
        <v>0</v>
      </c>
      <c r="Z53" s="693">
        <f t="shared" si="24"/>
        <v>0</v>
      </c>
      <c r="AA53" s="693">
        <f t="shared" si="24"/>
        <v>0</v>
      </c>
      <c r="AB53" s="693">
        <f t="shared" si="24"/>
        <v>0</v>
      </c>
      <c r="AC53" s="693">
        <f t="shared" si="24"/>
        <v>0</v>
      </c>
      <c r="AD53" s="693">
        <f t="shared" si="24"/>
        <v>0</v>
      </c>
      <c r="AE53" s="693">
        <f t="shared" ref="AE53:BF53" si="25">SUM(AE54:AE56)</f>
        <v>60731033.299999997</v>
      </c>
      <c r="AF53" s="693">
        <f t="shared" si="25"/>
        <v>0</v>
      </c>
      <c r="AG53" s="693">
        <f t="shared" si="25"/>
        <v>0</v>
      </c>
      <c r="AH53" s="693">
        <f t="shared" si="25"/>
        <v>0</v>
      </c>
      <c r="AI53" s="693">
        <f t="shared" si="25"/>
        <v>0</v>
      </c>
      <c r="AJ53" s="693">
        <f t="shared" si="25"/>
        <v>0</v>
      </c>
      <c r="AK53" s="693">
        <f t="shared" si="25"/>
        <v>0</v>
      </c>
      <c r="AL53" s="693">
        <f t="shared" si="25"/>
        <v>0</v>
      </c>
      <c r="AM53" s="693">
        <f t="shared" si="25"/>
        <v>0</v>
      </c>
      <c r="AN53" s="693">
        <f t="shared" si="25"/>
        <v>0</v>
      </c>
      <c r="AO53" s="693">
        <f t="shared" si="25"/>
        <v>0</v>
      </c>
      <c r="AP53" s="693">
        <f t="shared" si="25"/>
        <v>0</v>
      </c>
      <c r="AQ53" s="693">
        <f t="shared" si="25"/>
        <v>0</v>
      </c>
      <c r="AR53" s="693">
        <f t="shared" si="25"/>
        <v>0</v>
      </c>
      <c r="AS53" s="693">
        <f t="shared" si="25"/>
        <v>0</v>
      </c>
      <c r="AT53" s="693">
        <f t="shared" si="25"/>
        <v>0</v>
      </c>
      <c r="AU53" s="693">
        <f t="shared" si="25"/>
        <v>0</v>
      </c>
      <c r="AV53" s="693">
        <f t="shared" si="25"/>
        <v>0</v>
      </c>
      <c r="AW53" s="693">
        <f t="shared" si="25"/>
        <v>0</v>
      </c>
      <c r="AX53" s="693">
        <f t="shared" si="25"/>
        <v>0</v>
      </c>
      <c r="AY53" s="693">
        <f t="shared" si="25"/>
        <v>0</v>
      </c>
      <c r="AZ53" s="693">
        <f t="shared" si="25"/>
        <v>0</v>
      </c>
      <c r="BA53" s="693">
        <f t="shared" si="25"/>
        <v>0</v>
      </c>
      <c r="BB53" s="693">
        <f t="shared" si="25"/>
        <v>0</v>
      </c>
      <c r="BC53" s="693">
        <f t="shared" si="25"/>
        <v>0</v>
      </c>
      <c r="BD53" s="693">
        <f t="shared" si="25"/>
        <v>0</v>
      </c>
      <c r="BE53" s="693">
        <f t="shared" si="25"/>
        <v>0</v>
      </c>
      <c r="BF53" s="693">
        <f t="shared" si="25"/>
        <v>0</v>
      </c>
      <c r="BG53" s="693">
        <f t="shared" si="5"/>
        <v>346946019.30000001</v>
      </c>
      <c r="BH53" s="693">
        <f t="shared" si="5"/>
        <v>265766824</v>
      </c>
      <c r="BI53" s="693">
        <f t="shared" si="5"/>
        <v>265766824</v>
      </c>
      <c r="BJ53" s="693">
        <f t="shared" si="5"/>
        <v>265766824</v>
      </c>
      <c r="BK53" s="694">
        <f>+SUM(BG54:BG56)-BG53</f>
        <v>0</v>
      </c>
      <c r="BL53" s="695">
        <f>+BG53-B53</f>
        <v>0</v>
      </c>
    </row>
    <row r="54" spans="1:64" ht="45.75" customHeight="1" x14ac:dyDescent="0.25">
      <c r="A54" s="698" t="s">
        <v>2214</v>
      </c>
      <c r="B54" s="933">
        <f>+SUM([9]InfMesPptoCDP.rpt!$F$518:$F$521,[9]InfMesPptoCDP.rpt!$F$258:$F$263,[9]InfMesPptoCDP.rpt!$F$268:$F$270)</f>
        <v>346946019.30000001</v>
      </c>
      <c r="C54" s="699">
        <f>198188746/2</f>
        <v>99094373</v>
      </c>
      <c r="D54" s="699">
        <f>197740584/2</f>
        <v>98870292</v>
      </c>
      <c r="E54" s="699">
        <f>197740584/2</f>
        <v>98870292</v>
      </c>
      <c r="F54" s="699">
        <f>197740584/2</f>
        <v>98870292</v>
      </c>
      <c r="G54" s="699">
        <f>88026240/2</f>
        <v>44013120</v>
      </c>
      <c r="H54" s="699">
        <f>68026240/2</f>
        <v>34013120</v>
      </c>
      <c r="I54" s="699">
        <f>68026240/2</f>
        <v>34013120</v>
      </c>
      <c r="J54" s="699">
        <f>68026240/2</f>
        <v>34013120</v>
      </c>
      <c r="K54" s="700">
        <v>0</v>
      </c>
      <c r="L54" s="700">
        <v>0</v>
      </c>
      <c r="M54" s="700">
        <v>0</v>
      </c>
      <c r="N54" s="700">
        <v>0</v>
      </c>
      <c r="O54" s="700">
        <v>0</v>
      </c>
      <c r="P54" s="700">
        <v>0</v>
      </c>
      <c r="Q54" s="700">
        <v>0</v>
      </c>
      <c r="R54" s="700">
        <v>0</v>
      </c>
      <c r="S54" s="700">
        <v>0</v>
      </c>
      <c r="T54" s="700">
        <v>0</v>
      </c>
      <c r="U54" s="700">
        <v>0</v>
      </c>
      <c r="V54" s="700">
        <v>0</v>
      </c>
      <c r="W54" s="700">
        <v>0</v>
      </c>
      <c r="X54" s="700">
        <v>0</v>
      </c>
      <c r="Y54" s="700">
        <v>0</v>
      </c>
      <c r="Z54" s="700">
        <v>0</v>
      </c>
      <c r="AA54" s="700">
        <v>0</v>
      </c>
      <c r="AB54" s="700">
        <v>0</v>
      </c>
      <c r="AC54" s="700">
        <v>0</v>
      </c>
      <c r="AD54" s="700">
        <v>0</v>
      </c>
      <c r="AE54" s="699">
        <f>60731033.3/2</f>
        <v>30365516.649999999</v>
      </c>
      <c r="AF54" s="699">
        <f>+[9]InfMesPptoCDP.rpt!$Q$517</f>
        <v>0</v>
      </c>
      <c r="AG54" s="699">
        <f>+[9]InfMesPptoCDP.rpt!$R$517</f>
        <v>0</v>
      </c>
      <c r="AH54" s="699">
        <f>+[9]InfMesPptoCDP.rpt!$S$517</f>
        <v>0</v>
      </c>
      <c r="AI54" s="700">
        <v>0</v>
      </c>
      <c r="AJ54" s="700">
        <v>0</v>
      </c>
      <c r="AK54" s="700">
        <v>0</v>
      </c>
      <c r="AL54" s="700">
        <v>0</v>
      </c>
      <c r="AM54" s="700">
        <v>0</v>
      </c>
      <c r="AN54" s="700">
        <v>0</v>
      </c>
      <c r="AO54" s="700">
        <v>0</v>
      </c>
      <c r="AP54" s="700">
        <v>0</v>
      </c>
      <c r="AQ54" s="700">
        <v>0</v>
      </c>
      <c r="AR54" s="700">
        <v>0</v>
      </c>
      <c r="AS54" s="700">
        <v>0</v>
      </c>
      <c r="AT54" s="700">
        <v>0</v>
      </c>
      <c r="AU54" s="700">
        <v>0</v>
      </c>
      <c r="AV54" s="700">
        <v>0</v>
      </c>
      <c r="AW54" s="700">
        <v>0</v>
      </c>
      <c r="AX54" s="700">
        <v>0</v>
      </c>
      <c r="AY54" s="700">
        <v>0</v>
      </c>
      <c r="AZ54" s="700">
        <v>0</v>
      </c>
      <c r="BA54" s="700">
        <v>0</v>
      </c>
      <c r="BB54" s="700">
        <v>0</v>
      </c>
      <c r="BC54" s="700">
        <v>0</v>
      </c>
      <c r="BD54" s="700">
        <v>0</v>
      </c>
      <c r="BE54" s="700">
        <v>0</v>
      </c>
      <c r="BF54" s="700">
        <v>0</v>
      </c>
      <c r="BG54" s="699">
        <f t="shared" si="5"/>
        <v>173473009.65000001</v>
      </c>
      <c r="BH54" s="699">
        <f t="shared" si="5"/>
        <v>132883412</v>
      </c>
      <c r="BI54" s="699">
        <f t="shared" si="5"/>
        <v>132883412</v>
      </c>
      <c r="BJ54" s="699">
        <f t="shared" si="5"/>
        <v>132883412</v>
      </c>
      <c r="BK54" s="690"/>
    </row>
    <row r="55" spans="1:64" ht="45.75" customHeight="1" x14ac:dyDescent="0.25">
      <c r="A55" s="698" t="s">
        <v>2215</v>
      </c>
      <c r="B55" s="934"/>
      <c r="C55" s="699">
        <v>99094373</v>
      </c>
      <c r="D55" s="699">
        <v>98870292</v>
      </c>
      <c r="E55" s="699">
        <v>98870292</v>
      </c>
      <c r="F55" s="699">
        <v>98870292</v>
      </c>
      <c r="G55" s="699">
        <v>44013120</v>
      </c>
      <c r="H55" s="699">
        <v>34013120</v>
      </c>
      <c r="I55" s="699">
        <v>34013120</v>
      </c>
      <c r="J55" s="699">
        <v>34013120</v>
      </c>
      <c r="K55" s="700">
        <v>0</v>
      </c>
      <c r="L55" s="700">
        <v>0</v>
      </c>
      <c r="M55" s="700">
        <v>0</v>
      </c>
      <c r="N55" s="700">
        <v>0</v>
      </c>
      <c r="O55" s="700">
        <v>0</v>
      </c>
      <c r="P55" s="700">
        <v>0</v>
      </c>
      <c r="Q55" s="700">
        <v>0</v>
      </c>
      <c r="R55" s="700">
        <v>0</v>
      </c>
      <c r="S55" s="700">
        <v>0</v>
      </c>
      <c r="T55" s="700">
        <v>0</v>
      </c>
      <c r="U55" s="700">
        <v>0</v>
      </c>
      <c r="V55" s="700">
        <v>0</v>
      </c>
      <c r="W55" s="700">
        <v>0</v>
      </c>
      <c r="X55" s="700">
        <v>0</v>
      </c>
      <c r="Y55" s="700">
        <v>0</v>
      </c>
      <c r="Z55" s="700">
        <v>0</v>
      </c>
      <c r="AA55" s="700">
        <v>0</v>
      </c>
      <c r="AB55" s="700">
        <v>0</v>
      </c>
      <c r="AC55" s="700">
        <v>0</v>
      </c>
      <c r="AD55" s="700">
        <v>0</v>
      </c>
      <c r="AE55" s="699">
        <v>30365516.649999999</v>
      </c>
      <c r="AF55" s="699">
        <v>0</v>
      </c>
      <c r="AG55" s="699">
        <v>0</v>
      </c>
      <c r="AH55" s="699">
        <v>0</v>
      </c>
      <c r="AI55" s="700">
        <v>0</v>
      </c>
      <c r="AJ55" s="700">
        <v>0</v>
      </c>
      <c r="AK55" s="700">
        <v>0</v>
      </c>
      <c r="AL55" s="700">
        <v>0</v>
      </c>
      <c r="AM55" s="700">
        <v>0</v>
      </c>
      <c r="AN55" s="700">
        <v>0</v>
      </c>
      <c r="AO55" s="700">
        <v>0</v>
      </c>
      <c r="AP55" s="700">
        <v>0</v>
      </c>
      <c r="AQ55" s="700">
        <v>0</v>
      </c>
      <c r="AR55" s="700">
        <v>0</v>
      </c>
      <c r="AS55" s="700">
        <v>0</v>
      </c>
      <c r="AT55" s="700">
        <v>0</v>
      </c>
      <c r="AU55" s="700">
        <v>0</v>
      </c>
      <c r="AV55" s="700">
        <v>0</v>
      </c>
      <c r="AW55" s="700">
        <v>0</v>
      </c>
      <c r="AX55" s="700">
        <v>0</v>
      </c>
      <c r="AY55" s="700">
        <v>0</v>
      </c>
      <c r="AZ55" s="700">
        <v>0</v>
      </c>
      <c r="BA55" s="700">
        <v>0</v>
      </c>
      <c r="BB55" s="700">
        <v>0</v>
      </c>
      <c r="BC55" s="700">
        <v>0</v>
      </c>
      <c r="BD55" s="700">
        <v>0</v>
      </c>
      <c r="BE55" s="700">
        <v>0</v>
      </c>
      <c r="BF55" s="700">
        <v>0</v>
      </c>
      <c r="BG55" s="699">
        <f t="shared" si="5"/>
        <v>173473009.65000001</v>
      </c>
      <c r="BH55" s="699">
        <f t="shared" si="5"/>
        <v>132883412</v>
      </c>
      <c r="BI55" s="699">
        <f t="shared" si="5"/>
        <v>132883412</v>
      </c>
      <c r="BJ55" s="699">
        <f t="shared" si="5"/>
        <v>132883412</v>
      </c>
      <c r="BK55" s="690"/>
    </row>
    <row r="56" spans="1:64" ht="45.75" customHeight="1" x14ac:dyDescent="0.25">
      <c r="A56" s="696" t="s">
        <v>2216</v>
      </c>
      <c r="B56" s="935"/>
      <c r="C56" s="697">
        <v>0</v>
      </c>
      <c r="D56" s="697">
        <v>0</v>
      </c>
      <c r="E56" s="697">
        <v>0</v>
      </c>
      <c r="F56" s="697">
        <v>0</v>
      </c>
      <c r="G56" s="697">
        <v>0</v>
      </c>
      <c r="H56" s="697">
        <v>0</v>
      </c>
      <c r="I56" s="697">
        <v>0</v>
      </c>
      <c r="J56" s="697">
        <v>0</v>
      </c>
      <c r="K56" s="697">
        <v>0</v>
      </c>
      <c r="L56" s="697">
        <v>0</v>
      </c>
      <c r="M56" s="697">
        <v>0</v>
      </c>
      <c r="N56" s="697">
        <v>0</v>
      </c>
      <c r="O56" s="697">
        <v>0</v>
      </c>
      <c r="P56" s="697">
        <v>0</v>
      </c>
      <c r="Q56" s="697">
        <v>0</v>
      </c>
      <c r="R56" s="697">
        <v>0</v>
      </c>
      <c r="S56" s="697">
        <v>0</v>
      </c>
      <c r="T56" s="697">
        <v>0</v>
      </c>
      <c r="U56" s="697">
        <v>0</v>
      </c>
      <c r="V56" s="697">
        <v>0</v>
      </c>
      <c r="W56" s="697">
        <v>0</v>
      </c>
      <c r="X56" s="697">
        <v>0</v>
      </c>
      <c r="Y56" s="697">
        <v>0</v>
      </c>
      <c r="Z56" s="697">
        <v>0</v>
      </c>
      <c r="AA56" s="697">
        <v>0</v>
      </c>
      <c r="AB56" s="697">
        <v>0</v>
      </c>
      <c r="AC56" s="697">
        <v>0</v>
      </c>
      <c r="AD56" s="697">
        <v>0</v>
      </c>
      <c r="AE56" s="697">
        <v>0</v>
      </c>
      <c r="AF56" s="697">
        <v>0</v>
      </c>
      <c r="AG56" s="697">
        <v>0</v>
      </c>
      <c r="AH56" s="697">
        <v>0</v>
      </c>
      <c r="AI56" s="697">
        <v>0</v>
      </c>
      <c r="AJ56" s="697">
        <v>0</v>
      </c>
      <c r="AK56" s="697">
        <v>0</v>
      </c>
      <c r="AL56" s="697">
        <v>0</v>
      </c>
      <c r="AM56" s="697">
        <v>0</v>
      </c>
      <c r="AN56" s="697">
        <v>0</v>
      </c>
      <c r="AO56" s="697">
        <v>0</v>
      </c>
      <c r="AP56" s="697">
        <v>0</v>
      </c>
      <c r="AQ56" s="697">
        <v>0</v>
      </c>
      <c r="AR56" s="697">
        <v>0</v>
      </c>
      <c r="AS56" s="697">
        <v>0</v>
      </c>
      <c r="AT56" s="697">
        <v>0</v>
      </c>
      <c r="AU56" s="697">
        <v>0</v>
      </c>
      <c r="AV56" s="697">
        <v>0</v>
      </c>
      <c r="AW56" s="697">
        <v>0</v>
      </c>
      <c r="AX56" s="697">
        <v>0</v>
      </c>
      <c r="AY56" s="697">
        <v>0</v>
      </c>
      <c r="AZ56" s="697">
        <v>0</v>
      </c>
      <c r="BA56" s="697">
        <v>0</v>
      </c>
      <c r="BB56" s="697">
        <v>0</v>
      </c>
      <c r="BC56" s="697">
        <v>0</v>
      </c>
      <c r="BD56" s="697">
        <v>0</v>
      </c>
      <c r="BE56" s="697">
        <v>0</v>
      </c>
      <c r="BF56" s="697">
        <v>0</v>
      </c>
      <c r="BG56" s="697">
        <f t="shared" si="5"/>
        <v>0</v>
      </c>
      <c r="BH56" s="697">
        <f t="shared" si="5"/>
        <v>0</v>
      </c>
      <c r="BI56" s="697">
        <f t="shared" si="5"/>
        <v>0</v>
      </c>
      <c r="BJ56" s="697">
        <f t="shared" si="5"/>
        <v>0</v>
      </c>
      <c r="BK56" s="701">
        <f>+SUM(BG54:BG56)-B54</f>
        <v>0</v>
      </c>
    </row>
    <row r="57" spans="1:64" ht="45.75" customHeight="1" x14ac:dyDescent="0.25">
      <c r="A57" s="607" t="s">
        <v>2217</v>
      </c>
      <c r="B57" s="693">
        <f t="shared" ref="B57:O57" si="26">SUM(B58:B62)</f>
        <v>37078539006.309998</v>
      </c>
      <c r="C57" s="693">
        <f t="shared" si="26"/>
        <v>1803996176.1600001</v>
      </c>
      <c r="D57" s="693">
        <f t="shared" si="26"/>
        <v>1796633775.1600001</v>
      </c>
      <c r="E57" s="693">
        <f t="shared" si="26"/>
        <v>1791654073.3499999</v>
      </c>
      <c r="F57" s="693">
        <f t="shared" si="26"/>
        <v>1791654073.3499999</v>
      </c>
      <c r="G57" s="693">
        <f t="shared" si="26"/>
        <v>346559640</v>
      </c>
      <c r="H57" s="693">
        <f t="shared" si="26"/>
        <v>342526446</v>
      </c>
      <c r="I57" s="693">
        <f t="shared" si="26"/>
        <v>342526446</v>
      </c>
      <c r="J57" s="693">
        <f t="shared" si="26"/>
        <v>342526446</v>
      </c>
      <c r="K57" s="693">
        <f t="shared" si="26"/>
        <v>0</v>
      </c>
      <c r="L57" s="693">
        <f t="shared" si="26"/>
        <v>0</v>
      </c>
      <c r="M57" s="693">
        <f t="shared" si="26"/>
        <v>0</v>
      </c>
      <c r="N57" s="693">
        <f t="shared" si="26"/>
        <v>0</v>
      </c>
      <c r="O57" s="693">
        <f t="shared" si="26"/>
        <v>0</v>
      </c>
      <c r="P57" s="693">
        <f t="shared" ref="P57:BF57" si="27">SUM(P58:P62)</f>
        <v>0</v>
      </c>
      <c r="Q57" s="693">
        <f t="shared" si="27"/>
        <v>0</v>
      </c>
      <c r="R57" s="693">
        <f t="shared" si="27"/>
        <v>0</v>
      </c>
      <c r="S57" s="693">
        <f t="shared" si="27"/>
        <v>0</v>
      </c>
      <c r="T57" s="693">
        <f t="shared" si="27"/>
        <v>0</v>
      </c>
      <c r="U57" s="693">
        <f t="shared" si="27"/>
        <v>0</v>
      </c>
      <c r="V57" s="693">
        <f t="shared" si="27"/>
        <v>0</v>
      </c>
      <c r="W57" s="693">
        <f t="shared" si="27"/>
        <v>31844334634.150002</v>
      </c>
      <c r="X57" s="693">
        <f t="shared" si="27"/>
        <v>31831758551.5</v>
      </c>
      <c r="Y57" s="693">
        <f t="shared" si="27"/>
        <v>21357091133.139999</v>
      </c>
      <c r="Z57" s="693">
        <f t="shared" si="27"/>
        <v>21357091133.139999</v>
      </c>
      <c r="AA57" s="693">
        <f t="shared" si="27"/>
        <v>0</v>
      </c>
      <c r="AB57" s="693">
        <f t="shared" si="27"/>
        <v>0</v>
      </c>
      <c r="AC57" s="693">
        <f t="shared" si="27"/>
        <v>0</v>
      </c>
      <c r="AD57" s="693">
        <f t="shared" si="27"/>
        <v>0</v>
      </c>
      <c r="AE57" s="693">
        <f t="shared" si="27"/>
        <v>290000000</v>
      </c>
      <c r="AF57" s="693">
        <f t="shared" si="27"/>
        <v>290000000</v>
      </c>
      <c r="AG57" s="693">
        <f t="shared" si="27"/>
        <v>15000000</v>
      </c>
      <c r="AH57" s="693">
        <f t="shared" si="27"/>
        <v>0</v>
      </c>
      <c r="AI57" s="693">
        <f t="shared" si="27"/>
        <v>0</v>
      </c>
      <c r="AJ57" s="693">
        <f t="shared" si="27"/>
        <v>0</v>
      </c>
      <c r="AK57" s="693">
        <f t="shared" si="27"/>
        <v>0</v>
      </c>
      <c r="AL57" s="693">
        <f t="shared" si="27"/>
        <v>0</v>
      </c>
      <c r="AM57" s="693">
        <f t="shared" si="27"/>
        <v>2793648556</v>
      </c>
      <c r="AN57" s="693">
        <f t="shared" si="27"/>
        <v>2793076754</v>
      </c>
      <c r="AO57" s="693">
        <f t="shared" si="27"/>
        <v>0</v>
      </c>
      <c r="AP57" s="693">
        <f t="shared" si="27"/>
        <v>0</v>
      </c>
      <c r="AQ57" s="693">
        <f t="shared" si="27"/>
        <v>0</v>
      </c>
      <c r="AR57" s="693">
        <f t="shared" si="27"/>
        <v>0</v>
      </c>
      <c r="AS57" s="693">
        <f t="shared" si="27"/>
        <v>0</v>
      </c>
      <c r="AT57" s="693">
        <f t="shared" si="27"/>
        <v>0</v>
      </c>
      <c r="AU57" s="693">
        <f t="shared" si="27"/>
        <v>0</v>
      </c>
      <c r="AV57" s="693">
        <f t="shared" si="27"/>
        <v>0</v>
      </c>
      <c r="AW57" s="693">
        <f t="shared" si="27"/>
        <v>0</v>
      </c>
      <c r="AX57" s="693">
        <f t="shared" si="27"/>
        <v>0</v>
      </c>
      <c r="AY57" s="693">
        <f t="shared" si="27"/>
        <v>0</v>
      </c>
      <c r="AZ57" s="693">
        <f t="shared" si="27"/>
        <v>0</v>
      </c>
      <c r="BA57" s="693">
        <f t="shared" si="27"/>
        <v>0</v>
      </c>
      <c r="BB57" s="693">
        <f t="shared" si="27"/>
        <v>0</v>
      </c>
      <c r="BC57" s="693">
        <f t="shared" si="27"/>
        <v>0</v>
      </c>
      <c r="BD57" s="693">
        <f t="shared" si="27"/>
        <v>0</v>
      </c>
      <c r="BE57" s="693">
        <f t="shared" si="27"/>
        <v>0</v>
      </c>
      <c r="BF57" s="693">
        <f t="shared" si="27"/>
        <v>0</v>
      </c>
      <c r="BG57" s="693">
        <f t="shared" si="5"/>
        <v>37078539006.309998</v>
      </c>
      <c r="BH57" s="693">
        <f t="shared" si="5"/>
        <v>37053995526.660004</v>
      </c>
      <c r="BI57" s="693">
        <f t="shared" si="5"/>
        <v>23506271652.489998</v>
      </c>
      <c r="BJ57" s="693">
        <f t="shared" si="5"/>
        <v>23491271652.489998</v>
      </c>
      <c r="BK57" s="694">
        <f>+SUM(BG58:BG62)-BG57</f>
        <v>0</v>
      </c>
      <c r="BL57" s="695">
        <f>+BG57-B57</f>
        <v>0</v>
      </c>
    </row>
    <row r="58" spans="1:64" ht="45.75" customHeight="1" x14ac:dyDescent="0.25">
      <c r="A58" s="698" t="s">
        <v>2218</v>
      </c>
      <c r="B58" s="933">
        <f>1833358688.16+26525848532.25+8112134657.9+607197128</f>
        <v>37078539006.309998</v>
      </c>
      <c r="C58" s="699">
        <f>+SUM([8]INFORME_PCT!$F$85,[8]INFORME_PCT!$F$87,[8]INFORME_PCT!$F$89)</f>
        <v>96045633</v>
      </c>
      <c r="D58" s="699">
        <f>+SUM([8]INFORME_PCT!$H$85,[8]INFORME_PCT!$H$87,[8]INFORME_PCT!$H$89)</f>
        <v>96045633</v>
      </c>
      <c r="E58" s="699">
        <f>+SUM([8]INFORME_PCT!$I$85,[8]INFORME_PCT!$I$87,[8]INFORME_PCT!$I$89)</f>
        <v>96045633</v>
      </c>
      <c r="F58" s="699">
        <f>+SUM([8]INFORME_PCT!$J$85,[8]INFORME_PCT!$J$87,[8]INFORME_PCT!$J$89)</f>
        <v>96045633</v>
      </c>
      <c r="G58" s="699">
        <f>+SUM([8]INFORME_PCT!$F$86,[8]INFORME_PCT!$F$88,[8]INFORME_PCT!$F$90)</f>
        <v>84902600</v>
      </c>
      <c r="H58" s="699">
        <f>+SUM([8]INFORME_PCT!$H$86,[8]INFORME_PCT!$H$88,[8]INFORME_PCT!$H$90)</f>
        <v>83502740</v>
      </c>
      <c r="I58" s="699">
        <f>+SUM([8]INFORME_PCT!$I$86,[8]INFORME_PCT!$I$88,[8]INFORME_PCT!$I$90)</f>
        <v>83502740</v>
      </c>
      <c r="J58" s="699">
        <f>+SUM([8]INFORME_PCT!$J$86,[8]INFORME_PCT!$J$88,[8]INFORME_PCT!$J$90)</f>
        <v>83502740</v>
      </c>
      <c r="K58" s="700">
        <v>0</v>
      </c>
      <c r="L58" s="700">
        <v>0</v>
      </c>
      <c r="M58" s="700">
        <v>0</v>
      </c>
      <c r="N58" s="700">
        <v>0</v>
      </c>
      <c r="O58" s="700">
        <v>0</v>
      </c>
      <c r="P58" s="700">
        <v>0</v>
      </c>
      <c r="Q58" s="700">
        <v>0</v>
      </c>
      <c r="R58" s="700">
        <v>0</v>
      </c>
      <c r="S58" s="700">
        <v>0</v>
      </c>
      <c r="T58" s="700">
        <v>0</v>
      </c>
      <c r="U58" s="700">
        <v>0</v>
      </c>
      <c r="V58" s="700">
        <v>0</v>
      </c>
      <c r="W58" s="700">
        <v>0</v>
      </c>
      <c r="X58" s="700">
        <v>0</v>
      </c>
      <c r="Y58" s="700">
        <v>0</v>
      </c>
      <c r="Z58" s="700">
        <v>0</v>
      </c>
      <c r="AA58" s="700">
        <v>0</v>
      </c>
      <c r="AB58" s="700">
        <v>0</v>
      </c>
      <c r="AC58" s="700">
        <v>0</v>
      </c>
      <c r="AD58" s="700">
        <v>0</v>
      </c>
      <c r="AE58" s="700">
        <v>0</v>
      </c>
      <c r="AF58" s="700">
        <v>0</v>
      </c>
      <c r="AG58" s="700">
        <v>0</v>
      </c>
      <c r="AH58" s="700">
        <v>0</v>
      </c>
      <c r="AI58" s="700">
        <v>0</v>
      </c>
      <c r="AJ58" s="700">
        <v>0</v>
      </c>
      <c r="AK58" s="700">
        <v>0</v>
      </c>
      <c r="AL58" s="700">
        <v>0</v>
      </c>
      <c r="AM58" s="700">
        <v>0</v>
      </c>
      <c r="AN58" s="700">
        <v>0</v>
      </c>
      <c r="AO58" s="700">
        <v>0</v>
      </c>
      <c r="AP58" s="700">
        <v>0</v>
      </c>
      <c r="AQ58" s="700">
        <v>0</v>
      </c>
      <c r="AR58" s="700">
        <v>0</v>
      </c>
      <c r="AS58" s="700">
        <v>0</v>
      </c>
      <c r="AT58" s="700">
        <v>0</v>
      </c>
      <c r="AU58" s="700">
        <v>0</v>
      </c>
      <c r="AV58" s="700">
        <v>0</v>
      </c>
      <c r="AW58" s="700">
        <v>0</v>
      </c>
      <c r="AX58" s="700">
        <v>0</v>
      </c>
      <c r="AY58" s="700">
        <v>0</v>
      </c>
      <c r="AZ58" s="700">
        <v>0</v>
      </c>
      <c r="BA58" s="700">
        <v>0</v>
      </c>
      <c r="BB58" s="700">
        <v>0</v>
      </c>
      <c r="BC58" s="700">
        <v>0</v>
      </c>
      <c r="BD58" s="700">
        <v>0</v>
      </c>
      <c r="BE58" s="700">
        <v>0</v>
      </c>
      <c r="BF58" s="700">
        <v>0</v>
      </c>
      <c r="BG58" s="699">
        <f t="shared" si="5"/>
        <v>180948233</v>
      </c>
      <c r="BH58" s="699">
        <f t="shared" si="5"/>
        <v>179548373</v>
      </c>
      <c r="BI58" s="699">
        <f t="shared" si="5"/>
        <v>179548373</v>
      </c>
      <c r="BJ58" s="699">
        <f t="shared" si="5"/>
        <v>179548373</v>
      </c>
      <c r="BK58" s="690"/>
    </row>
    <row r="59" spans="1:64" ht="45.75" customHeight="1" x14ac:dyDescent="0.25">
      <c r="A59" s="703" t="s">
        <v>2219</v>
      </c>
      <c r="B59" s="934"/>
      <c r="C59" s="699">
        <f>+SUM([8]INFORME_PCT!$F$105,[8]INFORME_PCT!$F$106,[8]INFORME_PCT!$F$107)</f>
        <v>1243470255.1600001</v>
      </c>
      <c r="D59" s="699">
        <f>+SUM([8]INFORME_PCT!$H$105,[8]INFORME_PCT!$H$106,[8]INFORME_PCT!$H$107)</f>
        <v>1242997950.1600001</v>
      </c>
      <c r="E59" s="699">
        <f>+SUM([8]INFORME_PCT!$I$105,[8]INFORME_PCT!$I$106,[8]INFORME_PCT!$I$107)</f>
        <v>1238018248.3499999</v>
      </c>
      <c r="F59" s="699">
        <f>+SUM([8]INFORME_PCT!$J$105,[8]INFORME_PCT!$J$106,[8]INFORME_PCT!$J$107)</f>
        <v>1238018248.3499999</v>
      </c>
      <c r="G59" s="704">
        <v>0</v>
      </c>
      <c r="H59" s="704">
        <v>0</v>
      </c>
      <c r="I59" s="704">
        <v>0</v>
      </c>
      <c r="J59" s="704">
        <v>0</v>
      </c>
      <c r="K59" s="704">
        <v>0</v>
      </c>
      <c r="L59" s="704">
        <v>0</v>
      </c>
      <c r="M59" s="704">
        <v>0</v>
      </c>
      <c r="N59" s="704">
        <v>0</v>
      </c>
      <c r="O59" s="704">
        <v>0</v>
      </c>
      <c r="P59" s="704">
        <v>0</v>
      </c>
      <c r="Q59" s="704">
        <v>0</v>
      </c>
      <c r="R59" s="704">
        <v>0</v>
      </c>
      <c r="S59" s="704">
        <v>0</v>
      </c>
      <c r="T59" s="704">
        <v>0</v>
      </c>
      <c r="U59" s="704">
        <v>0</v>
      </c>
      <c r="V59" s="704">
        <v>0</v>
      </c>
      <c r="W59" s="704">
        <v>5077731383.8999996</v>
      </c>
      <c r="X59" s="704">
        <v>5076980330</v>
      </c>
      <c r="Y59" s="704">
        <v>0</v>
      </c>
      <c r="Z59" s="704">
        <v>0</v>
      </c>
      <c r="AA59" s="704">
        <v>0</v>
      </c>
      <c r="AB59" s="704">
        <v>0</v>
      </c>
      <c r="AC59" s="704">
        <v>0</v>
      </c>
      <c r="AD59" s="704">
        <v>0</v>
      </c>
      <c r="AE59" s="704">
        <v>0</v>
      </c>
      <c r="AF59" s="704">
        <v>0</v>
      </c>
      <c r="AG59" s="704">
        <v>0</v>
      </c>
      <c r="AH59" s="704">
        <v>0</v>
      </c>
      <c r="AI59" s="704">
        <v>0</v>
      </c>
      <c r="AJ59" s="704">
        <v>0</v>
      </c>
      <c r="AK59" s="704">
        <v>0</v>
      </c>
      <c r="AL59" s="704">
        <v>0</v>
      </c>
      <c r="AM59" s="704">
        <v>0</v>
      </c>
      <c r="AN59" s="704">
        <v>0</v>
      </c>
      <c r="AO59" s="704">
        <v>0</v>
      </c>
      <c r="AP59" s="704">
        <v>0</v>
      </c>
      <c r="AQ59" s="704">
        <v>0</v>
      </c>
      <c r="AR59" s="704">
        <v>0</v>
      </c>
      <c r="AS59" s="704">
        <v>0</v>
      </c>
      <c r="AT59" s="704">
        <v>0</v>
      </c>
      <c r="AU59" s="704">
        <v>0</v>
      </c>
      <c r="AV59" s="704">
        <v>0</v>
      </c>
      <c r="AW59" s="704">
        <v>0</v>
      </c>
      <c r="AX59" s="704">
        <v>0</v>
      </c>
      <c r="AY59" s="704">
        <v>0</v>
      </c>
      <c r="AZ59" s="704">
        <v>0</v>
      </c>
      <c r="BA59" s="704">
        <v>0</v>
      </c>
      <c r="BB59" s="704">
        <v>0</v>
      </c>
      <c r="BC59" s="704">
        <v>0</v>
      </c>
      <c r="BD59" s="704">
        <v>0</v>
      </c>
      <c r="BE59" s="704">
        <v>0</v>
      </c>
      <c r="BF59" s="704">
        <v>0</v>
      </c>
      <c r="BG59" s="704">
        <f t="shared" si="5"/>
        <v>6321201639.0599995</v>
      </c>
      <c r="BH59" s="704">
        <f t="shared" si="5"/>
        <v>6319978280.1599998</v>
      </c>
      <c r="BI59" s="704">
        <f t="shared" si="5"/>
        <v>1238018248.3499999</v>
      </c>
      <c r="BJ59" s="704">
        <f t="shared" si="5"/>
        <v>1238018248.3499999</v>
      </c>
      <c r="BK59" s="690"/>
    </row>
    <row r="60" spans="1:64" ht="45.75" customHeight="1" x14ac:dyDescent="0.25">
      <c r="A60" s="703" t="s">
        <v>2220</v>
      </c>
      <c r="B60" s="934"/>
      <c r="C60" s="699">
        <f>+SUM([8]INFORME_PCT!$F$95,[8]INFORME_PCT!$F$97,[8]INFORME_PCT!$F$99)+SUM([8]INFORME_PCT!$F$299,[8]INFORME_PCT!$F$301)</f>
        <v>444480288</v>
      </c>
      <c r="D60" s="699">
        <f>+SUM([8]INFORME_PCT!$H$95,[8]INFORME_PCT!$H$97,[8]INFORME_PCT!$H$99)+SUM([8]INFORME_PCT!$H$299,[8]INFORME_PCT!$H$301)</f>
        <v>437924773</v>
      </c>
      <c r="E60" s="699">
        <f>+SUM([8]INFORME_PCT!$I$95,[8]INFORME_PCT!$I$97,[8]INFORME_PCT!$I$99)+SUM([8]INFORME_PCT!$H$299,[8]INFORME_PCT!$H$301)</f>
        <v>437924773</v>
      </c>
      <c r="F60" s="699">
        <f>+SUM([8]INFORME_PCT!$J$95,[8]INFORME_PCT!$J$97,[8]INFORME_PCT!$J$99)+SUM([8]INFORME_PCT!$I$299,[8]INFORME_PCT!$I$301)</f>
        <v>437924773</v>
      </c>
      <c r="G60" s="699">
        <f>+SUM([8]INFORME_PCT!$F$96,[8]INFORME_PCT!$F$98,[8]INFORME_PCT!$F$100)</f>
        <v>181657040</v>
      </c>
      <c r="H60" s="699">
        <f>+SUM([8]INFORME_PCT!$H$96,[8]INFORME_PCT!$H$98,[8]INFORME_PCT!$H$100)</f>
        <v>181657040</v>
      </c>
      <c r="I60" s="699">
        <f>+SUM([8]INFORME_PCT!$I$96,[8]INFORME_PCT!$I$98,[8]INFORME_PCT!$I$100)</f>
        <v>181657040</v>
      </c>
      <c r="J60" s="699">
        <f>+SUM([8]INFORME_PCT!$J$96,[8]INFORME_PCT!$J$98,[8]INFORME_PCT!$J$100)</f>
        <v>181657040</v>
      </c>
      <c r="K60" s="704">
        <v>0</v>
      </c>
      <c r="L60" s="704">
        <v>0</v>
      </c>
      <c r="M60" s="704">
        <v>0</v>
      </c>
      <c r="N60" s="704">
        <v>0</v>
      </c>
      <c r="O60" s="704">
        <v>0</v>
      </c>
      <c r="P60" s="704">
        <v>0</v>
      </c>
      <c r="Q60" s="704">
        <v>0</v>
      </c>
      <c r="R60" s="704">
        <v>0</v>
      </c>
      <c r="S60" s="704">
        <v>0</v>
      </c>
      <c r="T60" s="704">
        <v>0</v>
      </c>
      <c r="U60" s="704">
        <v>0</v>
      </c>
      <c r="V60" s="704">
        <v>0</v>
      </c>
      <c r="W60" s="704">
        <f>1999920884+10997108327+1391317215+128834169.55+2729227293.7+3966687778+2519104309+1019701157+2014702117</f>
        <v>26766603250.25</v>
      </c>
      <c r="X60" s="704">
        <f>1997995908+10995356459+1390453945+127189242+2727801571.5+3965944730+2518997351+1018309235+2012729780</f>
        <v>26754778221.5</v>
      </c>
      <c r="Y60" s="704">
        <f>1817403398.56+10985116459+407711383+121067627.25+2727728692.5+3035761353.71+2262302219.12</f>
        <v>21357091133.139999</v>
      </c>
      <c r="Z60" s="704">
        <f>10985116459+1817403398.56+407711383+121067627.25+2727728692.5+3035761353.71+2262302219.12</f>
        <v>21357091133.139999</v>
      </c>
      <c r="AA60" s="704">
        <v>0</v>
      </c>
      <c r="AB60" s="704">
        <v>0</v>
      </c>
      <c r="AC60" s="704">
        <v>0</v>
      </c>
      <c r="AD60" s="704">
        <v>0</v>
      </c>
      <c r="AE60" s="704">
        <f>+[8]INFORME_PCT!$F$302</f>
        <v>290000000</v>
      </c>
      <c r="AF60" s="704">
        <f>+[8]INFORME_PCT!$H$302</f>
        <v>290000000</v>
      </c>
      <c r="AG60" s="704">
        <f>+[8]INFORME_PCT!$I$302</f>
        <v>15000000</v>
      </c>
      <c r="AH60" s="704">
        <f>+[8]INFORME_PCT!$J$302</f>
        <v>0</v>
      </c>
      <c r="AI60" s="704">
        <v>0</v>
      </c>
      <c r="AJ60" s="704">
        <v>0</v>
      </c>
      <c r="AK60" s="704">
        <v>0</v>
      </c>
      <c r="AL60" s="704">
        <v>0</v>
      </c>
      <c r="AM60" s="704">
        <v>2793648556</v>
      </c>
      <c r="AN60" s="704">
        <v>2793076754</v>
      </c>
      <c r="AO60" s="704">
        <v>0</v>
      </c>
      <c r="AP60" s="704">
        <v>0</v>
      </c>
      <c r="AQ60" s="704">
        <v>0</v>
      </c>
      <c r="AR60" s="704">
        <v>0</v>
      </c>
      <c r="AS60" s="704">
        <v>0</v>
      </c>
      <c r="AT60" s="704">
        <v>0</v>
      </c>
      <c r="AU60" s="704">
        <v>0</v>
      </c>
      <c r="AV60" s="704">
        <v>0</v>
      </c>
      <c r="AW60" s="704">
        <v>0</v>
      </c>
      <c r="AX60" s="704">
        <v>0</v>
      </c>
      <c r="AY60" s="704">
        <v>0</v>
      </c>
      <c r="AZ60" s="704">
        <v>0</v>
      </c>
      <c r="BA60" s="704">
        <v>0</v>
      </c>
      <c r="BB60" s="704">
        <v>0</v>
      </c>
      <c r="BC60" s="704">
        <v>0</v>
      </c>
      <c r="BD60" s="704">
        <v>0</v>
      </c>
      <c r="BE60" s="704">
        <v>0</v>
      </c>
      <c r="BF60" s="704">
        <v>0</v>
      </c>
      <c r="BG60" s="704">
        <f t="shared" si="5"/>
        <v>30476389134.25</v>
      </c>
      <c r="BH60" s="704">
        <f t="shared" si="5"/>
        <v>30457436788.5</v>
      </c>
      <c r="BI60" s="704">
        <f t="shared" si="5"/>
        <v>21991672946.139999</v>
      </c>
      <c r="BJ60" s="704">
        <f t="shared" si="5"/>
        <v>21976672946.139999</v>
      </c>
      <c r="BK60" s="690"/>
    </row>
    <row r="61" spans="1:64" ht="45.75" customHeight="1" x14ac:dyDescent="0.25">
      <c r="A61" s="696" t="s">
        <v>2221</v>
      </c>
      <c r="B61" s="934"/>
      <c r="C61" s="697">
        <v>0</v>
      </c>
      <c r="D61" s="697">
        <v>0</v>
      </c>
      <c r="E61" s="697">
        <v>0</v>
      </c>
      <c r="F61" s="697">
        <v>0</v>
      </c>
      <c r="G61" s="697">
        <v>0</v>
      </c>
      <c r="H61" s="697">
        <v>0</v>
      </c>
      <c r="I61" s="697">
        <v>0</v>
      </c>
      <c r="J61" s="697">
        <v>0</v>
      </c>
      <c r="K61" s="697">
        <v>0</v>
      </c>
      <c r="L61" s="697">
        <v>0</v>
      </c>
      <c r="M61" s="697">
        <v>0</v>
      </c>
      <c r="N61" s="697">
        <v>0</v>
      </c>
      <c r="O61" s="697">
        <v>0</v>
      </c>
      <c r="P61" s="697">
        <v>0</v>
      </c>
      <c r="Q61" s="697">
        <v>0</v>
      </c>
      <c r="R61" s="697">
        <v>0</v>
      </c>
      <c r="S61" s="697">
        <v>0</v>
      </c>
      <c r="T61" s="697">
        <v>0</v>
      </c>
      <c r="U61" s="697">
        <v>0</v>
      </c>
      <c r="V61" s="697">
        <v>0</v>
      </c>
      <c r="W61" s="697">
        <v>0</v>
      </c>
      <c r="X61" s="697">
        <v>0</v>
      </c>
      <c r="Y61" s="697">
        <v>0</v>
      </c>
      <c r="Z61" s="697">
        <v>0</v>
      </c>
      <c r="AA61" s="697">
        <v>0</v>
      </c>
      <c r="AB61" s="697">
        <v>0</v>
      </c>
      <c r="AC61" s="697">
        <v>0</v>
      </c>
      <c r="AD61" s="697">
        <v>0</v>
      </c>
      <c r="AE61" s="697">
        <v>0</v>
      </c>
      <c r="AF61" s="697">
        <v>0</v>
      </c>
      <c r="AG61" s="697">
        <v>0</v>
      </c>
      <c r="AH61" s="697">
        <v>0</v>
      </c>
      <c r="AI61" s="697">
        <v>0</v>
      </c>
      <c r="AJ61" s="697">
        <v>0</v>
      </c>
      <c r="AK61" s="697">
        <v>0</v>
      </c>
      <c r="AL61" s="697">
        <v>0</v>
      </c>
      <c r="AM61" s="697">
        <v>0</v>
      </c>
      <c r="AN61" s="697">
        <v>0</v>
      </c>
      <c r="AO61" s="697">
        <v>0</v>
      </c>
      <c r="AP61" s="697">
        <v>0</v>
      </c>
      <c r="AQ61" s="697">
        <v>0</v>
      </c>
      <c r="AR61" s="697">
        <v>0</v>
      </c>
      <c r="AS61" s="697">
        <v>0</v>
      </c>
      <c r="AT61" s="697">
        <v>0</v>
      </c>
      <c r="AU61" s="697">
        <v>0</v>
      </c>
      <c r="AV61" s="697">
        <v>0</v>
      </c>
      <c r="AW61" s="697">
        <v>0</v>
      </c>
      <c r="AX61" s="697">
        <v>0</v>
      </c>
      <c r="AY61" s="697">
        <v>0</v>
      </c>
      <c r="AZ61" s="697">
        <v>0</v>
      </c>
      <c r="BA61" s="697">
        <v>0</v>
      </c>
      <c r="BB61" s="697">
        <v>0</v>
      </c>
      <c r="BC61" s="697">
        <v>0</v>
      </c>
      <c r="BD61" s="697">
        <v>0</v>
      </c>
      <c r="BE61" s="697">
        <v>0</v>
      </c>
      <c r="BF61" s="697">
        <v>0</v>
      </c>
      <c r="BG61" s="697">
        <f t="shared" si="5"/>
        <v>0</v>
      </c>
      <c r="BH61" s="697">
        <f t="shared" si="5"/>
        <v>0</v>
      </c>
      <c r="BI61" s="697">
        <f t="shared" si="5"/>
        <v>0</v>
      </c>
      <c r="BJ61" s="697">
        <f t="shared" si="5"/>
        <v>0</v>
      </c>
      <c r="BK61" s="707"/>
    </row>
    <row r="62" spans="1:64" ht="45.75" customHeight="1" x14ac:dyDescent="0.25">
      <c r="A62" s="698" t="s">
        <v>2222</v>
      </c>
      <c r="B62" s="935"/>
      <c r="C62" s="699">
        <f>+[8]INFORME_PCT!$F$326</f>
        <v>20000000</v>
      </c>
      <c r="D62" s="699">
        <f>+[8]INFORME_PCT!$H$326</f>
        <v>19665419</v>
      </c>
      <c r="E62" s="699">
        <f>+[8]INFORME_PCT!$H$326</f>
        <v>19665419</v>
      </c>
      <c r="F62" s="699">
        <f>+[8]INFORME_PCT!$J$326</f>
        <v>19665419</v>
      </c>
      <c r="G62" s="699">
        <f>+[8]INFORME_PCT!$F$328</f>
        <v>80000000</v>
      </c>
      <c r="H62" s="699">
        <f>+[8]INFORME_PCT!$H$328</f>
        <v>77366666</v>
      </c>
      <c r="I62" s="699">
        <f>+[8]INFORME_PCT!$H$328</f>
        <v>77366666</v>
      </c>
      <c r="J62" s="699">
        <f>+[8]INFORME_PCT!$J$328</f>
        <v>77366666</v>
      </c>
      <c r="K62" s="700">
        <v>0</v>
      </c>
      <c r="L62" s="700">
        <v>0</v>
      </c>
      <c r="M62" s="700">
        <v>0</v>
      </c>
      <c r="N62" s="700">
        <v>0</v>
      </c>
      <c r="O62" s="700">
        <v>0</v>
      </c>
      <c r="P62" s="700">
        <v>0</v>
      </c>
      <c r="Q62" s="700">
        <v>0</v>
      </c>
      <c r="R62" s="700">
        <v>0</v>
      </c>
      <c r="S62" s="700">
        <v>0</v>
      </c>
      <c r="T62" s="700">
        <v>0</v>
      </c>
      <c r="U62" s="700">
        <v>0</v>
      </c>
      <c r="V62" s="700">
        <v>0</v>
      </c>
      <c r="W62" s="700">
        <v>0</v>
      </c>
      <c r="X62" s="700">
        <v>0</v>
      </c>
      <c r="Y62" s="700">
        <v>0</v>
      </c>
      <c r="Z62" s="700">
        <v>0</v>
      </c>
      <c r="AA62" s="700">
        <v>0</v>
      </c>
      <c r="AB62" s="700">
        <v>0</v>
      </c>
      <c r="AC62" s="700">
        <v>0</v>
      </c>
      <c r="AD62" s="700">
        <v>0</v>
      </c>
      <c r="AE62" s="700">
        <v>0</v>
      </c>
      <c r="AF62" s="700">
        <v>0</v>
      </c>
      <c r="AG62" s="700">
        <v>0</v>
      </c>
      <c r="AH62" s="700">
        <v>0</v>
      </c>
      <c r="AI62" s="700">
        <v>0</v>
      </c>
      <c r="AJ62" s="700">
        <v>0</v>
      </c>
      <c r="AK62" s="700">
        <v>0</v>
      </c>
      <c r="AL62" s="700">
        <v>0</v>
      </c>
      <c r="AM62" s="700">
        <v>0</v>
      </c>
      <c r="AN62" s="700">
        <v>0</v>
      </c>
      <c r="AO62" s="700">
        <v>0</v>
      </c>
      <c r="AP62" s="700">
        <v>0</v>
      </c>
      <c r="AQ62" s="700">
        <v>0</v>
      </c>
      <c r="AR62" s="700">
        <v>0</v>
      </c>
      <c r="AS62" s="700">
        <v>0</v>
      </c>
      <c r="AT62" s="700">
        <v>0</v>
      </c>
      <c r="AU62" s="700">
        <v>0</v>
      </c>
      <c r="AV62" s="700">
        <v>0</v>
      </c>
      <c r="AW62" s="700">
        <v>0</v>
      </c>
      <c r="AX62" s="700">
        <v>0</v>
      </c>
      <c r="AY62" s="700">
        <v>0</v>
      </c>
      <c r="AZ62" s="700">
        <v>0</v>
      </c>
      <c r="BA62" s="700">
        <v>0</v>
      </c>
      <c r="BB62" s="700">
        <v>0</v>
      </c>
      <c r="BC62" s="700">
        <v>0</v>
      </c>
      <c r="BD62" s="700">
        <v>0</v>
      </c>
      <c r="BE62" s="700">
        <v>0</v>
      </c>
      <c r="BF62" s="700">
        <v>0</v>
      </c>
      <c r="BG62" s="699">
        <f t="shared" si="5"/>
        <v>100000000</v>
      </c>
      <c r="BH62" s="699">
        <f t="shared" si="5"/>
        <v>97032085</v>
      </c>
      <c r="BI62" s="699">
        <f t="shared" si="5"/>
        <v>97032085</v>
      </c>
      <c r="BJ62" s="699">
        <f t="shared" si="5"/>
        <v>97032085</v>
      </c>
      <c r="BK62" s="701">
        <f>+SUM(BG58:BG62)-B58</f>
        <v>0</v>
      </c>
    </row>
    <row r="63" spans="1:64" ht="45.75" customHeight="1" x14ac:dyDescent="0.25">
      <c r="A63" s="607" t="s">
        <v>2223</v>
      </c>
      <c r="B63" s="693">
        <f t="shared" ref="B63:AD63" si="28">SUM(B64:B65)</f>
        <v>14302035767</v>
      </c>
      <c r="C63" s="693">
        <f t="shared" si="28"/>
        <v>0</v>
      </c>
      <c r="D63" s="693">
        <f t="shared" si="28"/>
        <v>0</v>
      </c>
      <c r="E63" s="693">
        <f t="shared" si="28"/>
        <v>0</v>
      </c>
      <c r="F63" s="693">
        <f t="shared" si="28"/>
        <v>0</v>
      </c>
      <c r="G63" s="693">
        <f t="shared" si="28"/>
        <v>0</v>
      </c>
      <c r="H63" s="693">
        <f t="shared" si="28"/>
        <v>0</v>
      </c>
      <c r="I63" s="693">
        <f t="shared" si="28"/>
        <v>0</v>
      </c>
      <c r="J63" s="693">
        <f t="shared" si="28"/>
        <v>0</v>
      </c>
      <c r="K63" s="693">
        <f t="shared" si="28"/>
        <v>0</v>
      </c>
      <c r="L63" s="693">
        <f t="shared" si="28"/>
        <v>0</v>
      </c>
      <c r="M63" s="693">
        <f t="shared" si="28"/>
        <v>0</v>
      </c>
      <c r="N63" s="693">
        <f t="shared" si="28"/>
        <v>0</v>
      </c>
      <c r="O63" s="693">
        <f t="shared" si="28"/>
        <v>0</v>
      </c>
      <c r="P63" s="693">
        <f t="shared" si="28"/>
        <v>0</v>
      </c>
      <c r="Q63" s="693">
        <f t="shared" si="28"/>
        <v>0</v>
      </c>
      <c r="R63" s="693">
        <f t="shared" si="28"/>
        <v>0</v>
      </c>
      <c r="S63" s="693">
        <f t="shared" si="28"/>
        <v>0</v>
      </c>
      <c r="T63" s="693">
        <f t="shared" si="28"/>
        <v>0</v>
      </c>
      <c r="U63" s="693">
        <f t="shared" si="28"/>
        <v>0</v>
      </c>
      <c r="V63" s="693">
        <f t="shared" si="28"/>
        <v>0</v>
      </c>
      <c r="W63" s="693">
        <f t="shared" si="28"/>
        <v>14302035767</v>
      </c>
      <c r="X63" s="693">
        <f t="shared" si="28"/>
        <v>14300602005</v>
      </c>
      <c r="Y63" s="693">
        <f t="shared" si="28"/>
        <v>5399009299.8000002</v>
      </c>
      <c r="Z63" s="693">
        <f t="shared" si="28"/>
        <v>5399009299.8000002</v>
      </c>
      <c r="AA63" s="693">
        <f t="shared" si="28"/>
        <v>0</v>
      </c>
      <c r="AB63" s="693">
        <f t="shared" si="28"/>
        <v>0</v>
      </c>
      <c r="AC63" s="693">
        <f t="shared" si="28"/>
        <v>0</v>
      </c>
      <c r="AD63" s="693">
        <f t="shared" si="28"/>
        <v>0</v>
      </c>
      <c r="AE63" s="693">
        <f t="shared" ref="AE63:BF63" si="29">SUM(AE64:AE65)</f>
        <v>0</v>
      </c>
      <c r="AF63" s="693">
        <f t="shared" si="29"/>
        <v>0</v>
      </c>
      <c r="AG63" s="693">
        <f t="shared" si="29"/>
        <v>0</v>
      </c>
      <c r="AH63" s="693">
        <f t="shared" si="29"/>
        <v>0</v>
      </c>
      <c r="AI63" s="693">
        <f t="shared" si="29"/>
        <v>0</v>
      </c>
      <c r="AJ63" s="693">
        <f t="shared" si="29"/>
        <v>0</v>
      </c>
      <c r="AK63" s="693">
        <f t="shared" si="29"/>
        <v>0</v>
      </c>
      <c r="AL63" s="693">
        <f t="shared" si="29"/>
        <v>0</v>
      </c>
      <c r="AM63" s="693">
        <f t="shared" si="29"/>
        <v>0</v>
      </c>
      <c r="AN63" s="693">
        <f t="shared" si="29"/>
        <v>0</v>
      </c>
      <c r="AO63" s="693">
        <f t="shared" si="29"/>
        <v>0</v>
      </c>
      <c r="AP63" s="693">
        <f t="shared" si="29"/>
        <v>0</v>
      </c>
      <c r="AQ63" s="693">
        <f t="shared" si="29"/>
        <v>0</v>
      </c>
      <c r="AR63" s="693">
        <f t="shared" si="29"/>
        <v>0</v>
      </c>
      <c r="AS63" s="693">
        <f t="shared" si="29"/>
        <v>0</v>
      </c>
      <c r="AT63" s="693">
        <f t="shared" si="29"/>
        <v>0</v>
      </c>
      <c r="AU63" s="693">
        <f t="shared" si="29"/>
        <v>0</v>
      </c>
      <c r="AV63" s="693">
        <f t="shared" si="29"/>
        <v>0</v>
      </c>
      <c r="AW63" s="693">
        <f t="shared" si="29"/>
        <v>0</v>
      </c>
      <c r="AX63" s="693">
        <f t="shared" si="29"/>
        <v>0</v>
      </c>
      <c r="AY63" s="693">
        <f t="shared" si="29"/>
        <v>0</v>
      </c>
      <c r="AZ63" s="693">
        <f t="shared" si="29"/>
        <v>0</v>
      </c>
      <c r="BA63" s="693">
        <f t="shared" si="29"/>
        <v>0</v>
      </c>
      <c r="BB63" s="693">
        <f t="shared" si="29"/>
        <v>0</v>
      </c>
      <c r="BC63" s="693">
        <f t="shared" si="29"/>
        <v>0</v>
      </c>
      <c r="BD63" s="693">
        <f t="shared" si="29"/>
        <v>0</v>
      </c>
      <c r="BE63" s="693">
        <f t="shared" si="29"/>
        <v>0</v>
      </c>
      <c r="BF63" s="693">
        <f t="shared" si="29"/>
        <v>0</v>
      </c>
      <c r="BG63" s="693">
        <f t="shared" si="5"/>
        <v>14302035767</v>
      </c>
      <c r="BH63" s="693">
        <f t="shared" si="5"/>
        <v>14300602005</v>
      </c>
      <c r="BI63" s="693">
        <f t="shared" si="5"/>
        <v>5399009299.8000002</v>
      </c>
      <c r="BJ63" s="693">
        <f t="shared" si="5"/>
        <v>5399009299.8000002</v>
      </c>
      <c r="BK63" s="694">
        <f>+SUM(BG64:BG65)-BG63</f>
        <v>0</v>
      </c>
      <c r="BL63" s="695">
        <f>+BG63-B63</f>
        <v>0</v>
      </c>
    </row>
    <row r="64" spans="1:64" ht="45.75" customHeight="1" x14ac:dyDescent="0.25">
      <c r="A64" s="696" t="s">
        <v>2224</v>
      </c>
      <c r="B64" s="933">
        <f>1709455689+11136256756+1456323322</f>
        <v>14302035767</v>
      </c>
      <c r="C64" s="697">
        <v>0</v>
      </c>
      <c r="D64" s="697">
        <v>0</v>
      </c>
      <c r="E64" s="697">
        <v>0</v>
      </c>
      <c r="F64" s="697">
        <v>0</v>
      </c>
      <c r="G64" s="697">
        <v>0</v>
      </c>
      <c r="H64" s="697">
        <v>0</v>
      </c>
      <c r="I64" s="697">
        <v>0</v>
      </c>
      <c r="J64" s="697">
        <v>0</v>
      </c>
      <c r="K64" s="697">
        <v>0</v>
      </c>
      <c r="L64" s="697">
        <v>0</v>
      </c>
      <c r="M64" s="697">
        <v>0</v>
      </c>
      <c r="N64" s="697">
        <v>0</v>
      </c>
      <c r="O64" s="697">
        <v>0</v>
      </c>
      <c r="P64" s="697">
        <v>0</v>
      </c>
      <c r="Q64" s="697">
        <v>0</v>
      </c>
      <c r="R64" s="697">
        <v>0</v>
      </c>
      <c r="S64" s="697">
        <v>0</v>
      </c>
      <c r="T64" s="697">
        <v>0</v>
      </c>
      <c r="U64" s="697">
        <v>0</v>
      </c>
      <c r="V64" s="697">
        <v>0</v>
      </c>
      <c r="W64" s="697">
        <v>0</v>
      </c>
      <c r="X64" s="697">
        <v>0</v>
      </c>
      <c r="Y64" s="697">
        <v>0</v>
      </c>
      <c r="Z64" s="697">
        <v>0</v>
      </c>
      <c r="AA64" s="697">
        <v>0</v>
      </c>
      <c r="AB64" s="697">
        <v>0</v>
      </c>
      <c r="AC64" s="697">
        <v>0</v>
      </c>
      <c r="AD64" s="697">
        <v>0</v>
      </c>
      <c r="AE64" s="697">
        <v>0</v>
      </c>
      <c r="AF64" s="697">
        <v>0</v>
      </c>
      <c r="AG64" s="697">
        <v>0</v>
      </c>
      <c r="AH64" s="697">
        <v>0</v>
      </c>
      <c r="AI64" s="697">
        <v>0</v>
      </c>
      <c r="AJ64" s="697">
        <v>0</v>
      </c>
      <c r="AK64" s="697">
        <v>0</v>
      </c>
      <c r="AL64" s="697">
        <v>0</v>
      </c>
      <c r="AM64" s="697">
        <v>0</v>
      </c>
      <c r="AN64" s="697">
        <v>0</v>
      </c>
      <c r="AO64" s="697">
        <v>0</v>
      </c>
      <c r="AP64" s="697">
        <v>0</v>
      </c>
      <c r="AQ64" s="697">
        <v>0</v>
      </c>
      <c r="AR64" s="697">
        <v>0</v>
      </c>
      <c r="AS64" s="697">
        <v>0</v>
      </c>
      <c r="AT64" s="697">
        <v>0</v>
      </c>
      <c r="AU64" s="697">
        <v>0</v>
      </c>
      <c r="AV64" s="697">
        <v>0</v>
      </c>
      <c r="AW64" s="697">
        <v>0</v>
      </c>
      <c r="AX64" s="697">
        <v>0</v>
      </c>
      <c r="AY64" s="697">
        <v>0</v>
      </c>
      <c r="AZ64" s="697">
        <v>0</v>
      </c>
      <c r="BA64" s="697">
        <v>0</v>
      </c>
      <c r="BB64" s="697">
        <v>0</v>
      </c>
      <c r="BC64" s="697">
        <v>0</v>
      </c>
      <c r="BD64" s="697">
        <v>0</v>
      </c>
      <c r="BE64" s="697">
        <v>0</v>
      </c>
      <c r="BF64" s="697">
        <v>0</v>
      </c>
      <c r="BG64" s="697">
        <f t="shared" si="5"/>
        <v>0</v>
      </c>
      <c r="BH64" s="697">
        <f t="shared" si="5"/>
        <v>0</v>
      </c>
      <c r="BI64" s="697">
        <f t="shared" si="5"/>
        <v>0</v>
      </c>
      <c r="BJ64" s="697">
        <f t="shared" si="5"/>
        <v>0</v>
      </c>
      <c r="BK64" s="690"/>
    </row>
    <row r="65" spans="1:64" ht="45.75" customHeight="1" x14ac:dyDescent="0.25">
      <c r="A65" s="708" t="s">
        <v>2225</v>
      </c>
      <c r="B65" s="935"/>
      <c r="C65" s="704">
        <v>0</v>
      </c>
      <c r="D65" s="704">
        <v>0</v>
      </c>
      <c r="E65" s="704">
        <v>0</v>
      </c>
      <c r="F65" s="704">
        <v>0</v>
      </c>
      <c r="G65" s="704">
        <v>0</v>
      </c>
      <c r="H65" s="704">
        <v>0</v>
      </c>
      <c r="I65" s="704">
        <v>0</v>
      </c>
      <c r="J65" s="704">
        <v>0</v>
      </c>
      <c r="K65" s="704">
        <v>0</v>
      </c>
      <c r="L65" s="704">
        <v>0</v>
      </c>
      <c r="M65" s="704">
        <v>0</v>
      </c>
      <c r="N65" s="704">
        <v>0</v>
      </c>
      <c r="O65" s="704">
        <v>0</v>
      </c>
      <c r="P65" s="704">
        <v>0</v>
      </c>
      <c r="Q65" s="704">
        <v>0</v>
      </c>
      <c r="R65" s="704">
        <v>0</v>
      </c>
      <c r="S65" s="704">
        <v>0</v>
      </c>
      <c r="T65" s="704">
        <v>0</v>
      </c>
      <c r="U65" s="704">
        <v>0</v>
      </c>
      <c r="V65" s="704">
        <v>0</v>
      </c>
      <c r="W65" s="704">
        <f>1456323322+11136256756+1709455689</f>
        <v>14302035767</v>
      </c>
      <c r="X65" s="704">
        <f>1455692235+11135602428+1709307342</f>
        <v>14300602005</v>
      </c>
      <c r="Y65" s="704">
        <f>1455692235+3282156528+661160536.8</f>
        <v>5399009299.8000002</v>
      </c>
      <c r="Z65" s="704">
        <f>1455692235+3282156528+661160536.8</f>
        <v>5399009299.8000002</v>
      </c>
      <c r="AA65" s="704">
        <v>0</v>
      </c>
      <c r="AB65" s="704">
        <v>0</v>
      </c>
      <c r="AC65" s="704">
        <v>0</v>
      </c>
      <c r="AD65" s="704">
        <v>0</v>
      </c>
      <c r="AE65" s="704">
        <v>0</v>
      </c>
      <c r="AF65" s="704">
        <v>0</v>
      </c>
      <c r="AG65" s="704">
        <v>0</v>
      </c>
      <c r="AH65" s="704">
        <v>0</v>
      </c>
      <c r="AI65" s="704">
        <v>0</v>
      </c>
      <c r="AJ65" s="704">
        <v>0</v>
      </c>
      <c r="AK65" s="704">
        <v>0</v>
      </c>
      <c r="AL65" s="704">
        <v>0</v>
      </c>
      <c r="AM65" s="704">
        <v>0</v>
      </c>
      <c r="AN65" s="704">
        <v>0</v>
      </c>
      <c r="AO65" s="704">
        <v>0</v>
      </c>
      <c r="AP65" s="704">
        <v>0</v>
      </c>
      <c r="AQ65" s="704">
        <v>0</v>
      </c>
      <c r="AR65" s="704">
        <v>0</v>
      </c>
      <c r="AS65" s="704">
        <v>0</v>
      </c>
      <c r="AT65" s="704">
        <v>0</v>
      </c>
      <c r="AU65" s="704">
        <v>0</v>
      </c>
      <c r="AV65" s="704">
        <v>0</v>
      </c>
      <c r="AW65" s="704">
        <v>0</v>
      </c>
      <c r="AX65" s="704">
        <v>0</v>
      </c>
      <c r="AY65" s="704">
        <v>0</v>
      </c>
      <c r="AZ65" s="704">
        <v>0</v>
      </c>
      <c r="BA65" s="704">
        <v>0</v>
      </c>
      <c r="BB65" s="704">
        <v>0</v>
      </c>
      <c r="BC65" s="704">
        <v>0</v>
      </c>
      <c r="BD65" s="704">
        <v>0</v>
      </c>
      <c r="BE65" s="704">
        <v>0</v>
      </c>
      <c r="BF65" s="704">
        <v>0</v>
      </c>
      <c r="BG65" s="704">
        <f t="shared" si="5"/>
        <v>14302035767</v>
      </c>
      <c r="BH65" s="704">
        <f t="shared" si="5"/>
        <v>14300602005</v>
      </c>
      <c r="BI65" s="704">
        <f t="shared" si="5"/>
        <v>5399009299.8000002</v>
      </c>
      <c r="BJ65" s="704">
        <f t="shared" si="5"/>
        <v>5399009299.8000002</v>
      </c>
      <c r="BK65" s="694">
        <f>+SUM(BG64:BG65)-B64</f>
        <v>0</v>
      </c>
    </row>
    <row r="66" spans="1:64" s="687" customFormat="1" ht="45.75" customHeight="1" x14ac:dyDescent="0.25">
      <c r="A66" s="684" t="s">
        <v>2226</v>
      </c>
      <c r="B66" s="685">
        <f>+B67</f>
        <v>11281430897.030001</v>
      </c>
      <c r="C66" s="685">
        <f>+C67</f>
        <v>7946851559.8400002</v>
      </c>
      <c r="D66" s="685">
        <f>+D67</f>
        <v>7410302042.4799995</v>
      </c>
      <c r="E66" s="685">
        <f t="shared" ref="E66:BF66" si="30">+E67</f>
        <v>7206661055.8899994</v>
      </c>
      <c r="F66" s="685">
        <f t="shared" si="30"/>
        <v>5837033858.0699997</v>
      </c>
      <c r="G66" s="685">
        <f t="shared" si="30"/>
        <v>268363440</v>
      </c>
      <c r="H66" s="685">
        <f t="shared" si="30"/>
        <v>117313702</v>
      </c>
      <c r="I66" s="685">
        <f t="shared" si="30"/>
        <v>117313702</v>
      </c>
      <c r="J66" s="685">
        <f t="shared" si="30"/>
        <v>117313702</v>
      </c>
      <c r="K66" s="685">
        <f t="shared" si="30"/>
        <v>166034934.56</v>
      </c>
      <c r="L66" s="685">
        <f t="shared" si="30"/>
        <v>116785881</v>
      </c>
      <c r="M66" s="685">
        <f t="shared" si="30"/>
        <v>116785881</v>
      </c>
      <c r="N66" s="685">
        <f t="shared" si="30"/>
        <v>114647913</v>
      </c>
      <c r="O66" s="685">
        <f t="shared" si="30"/>
        <v>960701165.9000001</v>
      </c>
      <c r="P66" s="685">
        <f t="shared" si="30"/>
        <v>960701165.9000001</v>
      </c>
      <c r="Q66" s="685">
        <f t="shared" si="30"/>
        <v>110701165.90000001</v>
      </c>
      <c r="R66" s="685">
        <f t="shared" si="30"/>
        <v>110701165.90000001</v>
      </c>
      <c r="S66" s="685">
        <f t="shared" si="30"/>
        <v>10000000</v>
      </c>
      <c r="T66" s="685">
        <f t="shared" si="30"/>
        <v>9858992</v>
      </c>
      <c r="U66" s="685">
        <f t="shared" si="30"/>
        <v>9858992</v>
      </c>
      <c r="V66" s="685">
        <f t="shared" si="30"/>
        <v>9858992</v>
      </c>
      <c r="W66" s="685">
        <f t="shared" si="30"/>
        <v>1347479796.73</v>
      </c>
      <c r="X66" s="685">
        <f t="shared" si="30"/>
        <v>1347470320</v>
      </c>
      <c r="Y66" s="685">
        <f t="shared" si="30"/>
        <v>404241096</v>
      </c>
      <c r="Z66" s="685">
        <f t="shared" si="30"/>
        <v>404241096</v>
      </c>
      <c r="AA66" s="685">
        <f t="shared" si="30"/>
        <v>100000000</v>
      </c>
      <c r="AB66" s="685">
        <f t="shared" si="30"/>
        <v>98793036</v>
      </c>
      <c r="AC66" s="685">
        <f t="shared" si="30"/>
        <v>98793036</v>
      </c>
      <c r="AD66" s="685">
        <f t="shared" si="30"/>
        <v>98793036</v>
      </c>
      <c r="AE66" s="685">
        <f t="shared" si="30"/>
        <v>52000000</v>
      </c>
      <c r="AF66" s="685">
        <f t="shared" si="30"/>
        <v>49906913</v>
      </c>
      <c r="AG66" s="685">
        <f t="shared" si="30"/>
        <v>47855908.999999993</v>
      </c>
      <c r="AH66" s="685">
        <f t="shared" si="30"/>
        <v>47855908.999999993</v>
      </c>
      <c r="AI66" s="685">
        <f t="shared" si="30"/>
        <v>0</v>
      </c>
      <c r="AJ66" s="685">
        <f t="shared" si="30"/>
        <v>0</v>
      </c>
      <c r="AK66" s="685">
        <f t="shared" si="30"/>
        <v>0</v>
      </c>
      <c r="AL66" s="685">
        <f t="shared" si="30"/>
        <v>0</v>
      </c>
      <c r="AM66" s="685">
        <f t="shared" si="30"/>
        <v>0</v>
      </c>
      <c r="AN66" s="685">
        <f t="shared" si="30"/>
        <v>0</v>
      </c>
      <c r="AO66" s="685">
        <f t="shared" si="30"/>
        <v>0</v>
      </c>
      <c r="AP66" s="685">
        <f t="shared" si="30"/>
        <v>0</v>
      </c>
      <c r="AQ66" s="685">
        <f t="shared" si="30"/>
        <v>0</v>
      </c>
      <c r="AR66" s="685">
        <f t="shared" si="30"/>
        <v>0</v>
      </c>
      <c r="AS66" s="685">
        <f t="shared" si="30"/>
        <v>0</v>
      </c>
      <c r="AT66" s="685">
        <f t="shared" si="30"/>
        <v>0</v>
      </c>
      <c r="AU66" s="685">
        <f t="shared" si="30"/>
        <v>0</v>
      </c>
      <c r="AV66" s="685">
        <f t="shared" si="30"/>
        <v>0</v>
      </c>
      <c r="AW66" s="685">
        <f t="shared" si="30"/>
        <v>0</v>
      </c>
      <c r="AX66" s="685">
        <f t="shared" si="30"/>
        <v>0</v>
      </c>
      <c r="AY66" s="685">
        <f t="shared" si="30"/>
        <v>250000000</v>
      </c>
      <c r="AZ66" s="685">
        <f t="shared" si="30"/>
        <v>249193180</v>
      </c>
      <c r="BA66" s="685">
        <f t="shared" si="30"/>
        <v>249193180</v>
      </c>
      <c r="BB66" s="685">
        <f t="shared" si="30"/>
        <v>249193180</v>
      </c>
      <c r="BC66" s="685">
        <f t="shared" si="30"/>
        <v>180000000</v>
      </c>
      <c r="BD66" s="685">
        <f t="shared" si="30"/>
        <v>180000000</v>
      </c>
      <c r="BE66" s="685">
        <f t="shared" si="30"/>
        <v>180000000</v>
      </c>
      <c r="BF66" s="685">
        <f t="shared" si="30"/>
        <v>177948611</v>
      </c>
      <c r="BG66" s="685">
        <f t="shared" si="5"/>
        <v>11281430897.030001</v>
      </c>
      <c r="BH66" s="685">
        <f t="shared" si="5"/>
        <v>10540325232.379999</v>
      </c>
      <c r="BI66" s="685">
        <f t="shared" si="5"/>
        <v>8541404017.789999</v>
      </c>
      <c r="BJ66" s="685">
        <f t="shared" si="5"/>
        <v>7167587462.9699993</v>
      </c>
      <c r="BK66" s="686"/>
    </row>
    <row r="67" spans="1:64" ht="45.75" customHeight="1" x14ac:dyDescent="0.25">
      <c r="A67" s="688" t="s">
        <v>2227</v>
      </c>
      <c r="B67" s="689">
        <f>+B68+B71+B75+B83+B94+B99</f>
        <v>11281430897.030001</v>
      </c>
      <c r="C67" s="689">
        <f>+C68+C71+C75+C83+C94+C99</f>
        <v>7946851559.8400002</v>
      </c>
      <c r="D67" s="689">
        <f>+D68+D71+D75+D83+D94+D99</f>
        <v>7410302042.4799995</v>
      </c>
      <c r="E67" s="689">
        <f t="shared" ref="E67:BF67" si="31">+E68+E71+E75+E83+E94+E99</f>
        <v>7206661055.8899994</v>
      </c>
      <c r="F67" s="689">
        <f t="shared" si="31"/>
        <v>5837033858.0699997</v>
      </c>
      <c r="G67" s="689">
        <f t="shared" si="31"/>
        <v>268363440</v>
      </c>
      <c r="H67" s="689">
        <f t="shared" si="31"/>
        <v>117313702</v>
      </c>
      <c r="I67" s="689">
        <f t="shared" si="31"/>
        <v>117313702</v>
      </c>
      <c r="J67" s="689">
        <f t="shared" si="31"/>
        <v>117313702</v>
      </c>
      <c r="K67" s="689">
        <f t="shared" si="31"/>
        <v>166034934.56</v>
      </c>
      <c r="L67" s="689">
        <f t="shared" si="31"/>
        <v>116785881</v>
      </c>
      <c r="M67" s="689">
        <f t="shared" si="31"/>
        <v>116785881</v>
      </c>
      <c r="N67" s="689">
        <f t="shared" si="31"/>
        <v>114647913</v>
      </c>
      <c r="O67" s="689">
        <f t="shared" si="31"/>
        <v>960701165.9000001</v>
      </c>
      <c r="P67" s="689">
        <f t="shared" si="31"/>
        <v>960701165.9000001</v>
      </c>
      <c r="Q67" s="689">
        <f t="shared" si="31"/>
        <v>110701165.90000001</v>
      </c>
      <c r="R67" s="689">
        <f t="shared" si="31"/>
        <v>110701165.90000001</v>
      </c>
      <c r="S67" s="689">
        <f t="shared" si="31"/>
        <v>10000000</v>
      </c>
      <c r="T67" s="689">
        <f t="shared" si="31"/>
        <v>9858992</v>
      </c>
      <c r="U67" s="689">
        <f t="shared" si="31"/>
        <v>9858992</v>
      </c>
      <c r="V67" s="689">
        <f t="shared" si="31"/>
        <v>9858992</v>
      </c>
      <c r="W67" s="689">
        <f t="shared" si="31"/>
        <v>1347479796.73</v>
      </c>
      <c r="X67" s="689">
        <f t="shared" si="31"/>
        <v>1347470320</v>
      </c>
      <c r="Y67" s="689">
        <f t="shared" si="31"/>
        <v>404241096</v>
      </c>
      <c r="Z67" s="689">
        <f t="shared" si="31"/>
        <v>404241096</v>
      </c>
      <c r="AA67" s="689">
        <f t="shared" si="31"/>
        <v>100000000</v>
      </c>
      <c r="AB67" s="689">
        <f t="shared" si="31"/>
        <v>98793036</v>
      </c>
      <c r="AC67" s="689">
        <f t="shared" si="31"/>
        <v>98793036</v>
      </c>
      <c r="AD67" s="689">
        <f t="shared" si="31"/>
        <v>98793036</v>
      </c>
      <c r="AE67" s="689">
        <f t="shared" si="31"/>
        <v>52000000</v>
      </c>
      <c r="AF67" s="689">
        <f t="shared" si="31"/>
        <v>49906913</v>
      </c>
      <c r="AG67" s="689">
        <f t="shared" si="31"/>
        <v>47855908.999999993</v>
      </c>
      <c r="AH67" s="689">
        <f t="shared" si="31"/>
        <v>47855908.999999993</v>
      </c>
      <c r="AI67" s="689">
        <f t="shared" si="31"/>
        <v>0</v>
      </c>
      <c r="AJ67" s="689">
        <f t="shared" si="31"/>
        <v>0</v>
      </c>
      <c r="AK67" s="689">
        <f t="shared" si="31"/>
        <v>0</v>
      </c>
      <c r="AL67" s="689">
        <f t="shared" si="31"/>
        <v>0</v>
      </c>
      <c r="AM67" s="689">
        <f t="shared" si="31"/>
        <v>0</v>
      </c>
      <c r="AN67" s="689">
        <f t="shared" si="31"/>
        <v>0</v>
      </c>
      <c r="AO67" s="689">
        <f t="shared" si="31"/>
        <v>0</v>
      </c>
      <c r="AP67" s="689">
        <f t="shared" si="31"/>
        <v>0</v>
      </c>
      <c r="AQ67" s="689">
        <f t="shared" si="31"/>
        <v>0</v>
      </c>
      <c r="AR67" s="689">
        <f t="shared" si="31"/>
        <v>0</v>
      </c>
      <c r="AS67" s="689">
        <f t="shared" si="31"/>
        <v>0</v>
      </c>
      <c r="AT67" s="689">
        <f t="shared" si="31"/>
        <v>0</v>
      </c>
      <c r="AU67" s="689">
        <f t="shared" si="31"/>
        <v>0</v>
      </c>
      <c r="AV67" s="689">
        <f t="shared" si="31"/>
        <v>0</v>
      </c>
      <c r="AW67" s="689">
        <f t="shared" si="31"/>
        <v>0</v>
      </c>
      <c r="AX67" s="689">
        <f t="shared" si="31"/>
        <v>0</v>
      </c>
      <c r="AY67" s="689">
        <f t="shared" si="31"/>
        <v>250000000</v>
      </c>
      <c r="AZ67" s="689">
        <f t="shared" si="31"/>
        <v>249193180</v>
      </c>
      <c r="BA67" s="689">
        <f t="shared" si="31"/>
        <v>249193180</v>
      </c>
      <c r="BB67" s="689">
        <f t="shared" si="31"/>
        <v>249193180</v>
      </c>
      <c r="BC67" s="689">
        <f t="shared" si="31"/>
        <v>180000000</v>
      </c>
      <c r="BD67" s="689">
        <f t="shared" si="31"/>
        <v>180000000</v>
      </c>
      <c r="BE67" s="689">
        <f t="shared" si="31"/>
        <v>180000000</v>
      </c>
      <c r="BF67" s="689">
        <f t="shared" si="31"/>
        <v>177948611</v>
      </c>
      <c r="BG67" s="689">
        <f t="shared" si="5"/>
        <v>11281430897.030001</v>
      </c>
      <c r="BH67" s="689">
        <f t="shared" si="5"/>
        <v>10540325232.379999</v>
      </c>
      <c r="BI67" s="689">
        <f t="shared" si="5"/>
        <v>8541404017.789999</v>
      </c>
      <c r="BJ67" s="689">
        <f t="shared" si="5"/>
        <v>7167587462.9699993</v>
      </c>
      <c r="BK67" s="690"/>
    </row>
    <row r="68" spans="1:64" ht="45.75" customHeight="1" x14ac:dyDescent="0.25">
      <c r="A68" s="607" t="s">
        <v>2228</v>
      </c>
      <c r="B68" s="693">
        <f>SUM(B69:B70)</f>
        <v>270575796</v>
      </c>
      <c r="C68" s="693">
        <f t="shared" ref="C68:BF68" si="32">SUM(C69:C70)</f>
        <v>228575796</v>
      </c>
      <c r="D68" s="693">
        <f t="shared" si="32"/>
        <v>226971401</v>
      </c>
      <c r="E68" s="693">
        <f t="shared" si="32"/>
        <v>226971401</v>
      </c>
      <c r="F68" s="693">
        <f t="shared" si="32"/>
        <v>225861463</v>
      </c>
      <c r="G68" s="693">
        <f t="shared" si="32"/>
        <v>0</v>
      </c>
      <c r="H68" s="693">
        <f t="shared" si="32"/>
        <v>0</v>
      </c>
      <c r="I68" s="693">
        <f t="shared" si="32"/>
        <v>0</v>
      </c>
      <c r="J68" s="693">
        <f t="shared" si="32"/>
        <v>0</v>
      </c>
      <c r="K68" s="693">
        <f t="shared" si="32"/>
        <v>40000000</v>
      </c>
      <c r="L68" s="693">
        <f t="shared" si="32"/>
        <v>36385265</v>
      </c>
      <c r="M68" s="693">
        <f t="shared" si="32"/>
        <v>36385265</v>
      </c>
      <c r="N68" s="693">
        <f t="shared" si="32"/>
        <v>36385265</v>
      </c>
      <c r="O68" s="693">
        <f t="shared" si="32"/>
        <v>0</v>
      </c>
      <c r="P68" s="693">
        <f t="shared" si="32"/>
        <v>0</v>
      </c>
      <c r="Q68" s="693">
        <f t="shared" si="32"/>
        <v>0</v>
      </c>
      <c r="R68" s="693">
        <f t="shared" si="32"/>
        <v>0</v>
      </c>
      <c r="S68" s="693">
        <f t="shared" si="32"/>
        <v>0</v>
      </c>
      <c r="T68" s="693">
        <f t="shared" si="32"/>
        <v>0</v>
      </c>
      <c r="U68" s="693">
        <f t="shared" si="32"/>
        <v>0</v>
      </c>
      <c r="V68" s="693">
        <f t="shared" si="32"/>
        <v>0</v>
      </c>
      <c r="W68" s="693">
        <f t="shared" si="32"/>
        <v>0</v>
      </c>
      <c r="X68" s="693">
        <f t="shared" si="32"/>
        <v>0</v>
      </c>
      <c r="Y68" s="693">
        <f t="shared" si="32"/>
        <v>0</v>
      </c>
      <c r="Z68" s="693">
        <f t="shared" si="32"/>
        <v>0</v>
      </c>
      <c r="AA68" s="693">
        <f t="shared" si="32"/>
        <v>0</v>
      </c>
      <c r="AB68" s="693">
        <f t="shared" si="32"/>
        <v>0</v>
      </c>
      <c r="AC68" s="693">
        <f t="shared" si="32"/>
        <v>0</v>
      </c>
      <c r="AD68" s="693">
        <f t="shared" si="32"/>
        <v>0</v>
      </c>
      <c r="AE68" s="693">
        <f t="shared" si="32"/>
        <v>2000000</v>
      </c>
      <c r="AF68" s="693">
        <f t="shared" si="32"/>
        <v>0</v>
      </c>
      <c r="AG68" s="693">
        <f t="shared" si="32"/>
        <v>0</v>
      </c>
      <c r="AH68" s="693">
        <f t="shared" si="32"/>
        <v>0</v>
      </c>
      <c r="AI68" s="693">
        <f t="shared" si="32"/>
        <v>0</v>
      </c>
      <c r="AJ68" s="693">
        <f t="shared" si="32"/>
        <v>0</v>
      </c>
      <c r="AK68" s="693">
        <f t="shared" si="32"/>
        <v>0</v>
      </c>
      <c r="AL68" s="693">
        <f t="shared" si="32"/>
        <v>0</v>
      </c>
      <c r="AM68" s="693">
        <f t="shared" si="32"/>
        <v>0</v>
      </c>
      <c r="AN68" s="693">
        <f t="shared" si="32"/>
        <v>0</v>
      </c>
      <c r="AO68" s="693">
        <f t="shared" si="32"/>
        <v>0</v>
      </c>
      <c r="AP68" s="693">
        <f t="shared" si="32"/>
        <v>0</v>
      </c>
      <c r="AQ68" s="693">
        <f t="shared" si="32"/>
        <v>0</v>
      </c>
      <c r="AR68" s="693">
        <f t="shared" si="32"/>
        <v>0</v>
      </c>
      <c r="AS68" s="693">
        <f t="shared" si="32"/>
        <v>0</v>
      </c>
      <c r="AT68" s="693">
        <f t="shared" si="32"/>
        <v>0</v>
      </c>
      <c r="AU68" s="693">
        <f t="shared" si="32"/>
        <v>0</v>
      </c>
      <c r="AV68" s="693">
        <f t="shared" si="32"/>
        <v>0</v>
      </c>
      <c r="AW68" s="693">
        <f t="shared" si="32"/>
        <v>0</v>
      </c>
      <c r="AX68" s="693">
        <f t="shared" si="32"/>
        <v>0</v>
      </c>
      <c r="AY68" s="693">
        <f t="shared" si="32"/>
        <v>0</v>
      </c>
      <c r="AZ68" s="693">
        <f t="shared" si="32"/>
        <v>0</v>
      </c>
      <c r="BA68" s="693">
        <f t="shared" si="32"/>
        <v>0</v>
      </c>
      <c r="BB68" s="693">
        <f t="shared" si="32"/>
        <v>0</v>
      </c>
      <c r="BC68" s="693">
        <f t="shared" si="32"/>
        <v>0</v>
      </c>
      <c r="BD68" s="693">
        <f t="shared" si="32"/>
        <v>0</v>
      </c>
      <c r="BE68" s="693">
        <f t="shared" si="32"/>
        <v>0</v>
      </c>
      <c r="BF68" s="693">
        <f t="shared" si="32"/>
        <v>0</v>
      </c>
      <c r="BG68" s="693">
        <f t="shared" si="5"/>
        <v>270575796</v>
      </c>
      <c r="BH68" s="693">
        <f t="shared" si="5"/>
        <v>263356666</v>
      </c>
      <c r="BI68" s="693">
        <f t="shared" si="5"/>
        <v>263356666</v>
      </c>
      <c r="BJ68" s="693">
        <f t="shared" si="5"/>
        <v>262246728</v>
      </c>
      <c r="BK68" s="694">
        <f>+SUM(BG69:BG70)-BG68</f>
        <v>0</v>
      </c>
      <c r="BL68" s="695">
        <f>+BG68-B68</f>
        <v>0</v>
      </c>
    </row>
    <row r="69" spans="1:64" ht="45.75" customHeight="1" x14ac:dyDescent="0.25">
      <c r="A69" s="696" t="s">
        <v>2229</v>
      </c>
      <c r="B69" s="933">
        <f>+[10]InfMesPptoCDP.rpt!$P$534</f>
        <v>270575796</v>
      </c>
      <c r="C69" s="697">
        <v>0</v>
      </c>
      <c r="D69" s="697">
        <v>0</v>
      </c>
      <c r="E69" s="697">
        <v>0</v>
      </c>
      <c r="F69" s="697">
        <v>0</v>
      </c>
      <c r="G69" s="697">
        <v>0</v>
      </c>
      <c r="H69" s="697">
        <v>0</v>
      </c>
      <c r="I69" s="697">
        <v>0</v>
      </c>
      <c r="J69" s="697">
        <v>0</v>
      </c>
      <c r="K69" s="697">
        <v>0</v>
      </c>
      <c r="L69" s="697">
        <v>0</v>
      </c>
      <c r="M69" s="697">
        <v>0</v>
      </c>
      <c r="N69" s="697">
        <v>0</v>
      </c>
      <c r="O69" s="697">
        <v>0</v>
      </c>
      <c r="P69" s="697">
        <v>0</v>
      </c>
      <c r="Q69" s="697">
        <v>0</v>
      </c>
      <c r="R69" s="697">
        <v>0</v>
      </c>
      <c r="S69" s="697">
        <v>0</v>
      </c>
      <c r="T69" s="697">
        <v>0</v>
      </c>
      <c r="U69" s="697">
        <v>0</v>
      </c>
      <c r="V69" s="697">
        <v>0</v>
      </c>
      <c r="W69" s="697">
        <v>0</v>
      </c>
      <c r="X69" s="697">
        <v>0</v>
      </c>
      <c r="Y69" s="697">
        <v>0</v>
      </c>
      <c r="Z69" s="697">
        <v>0</v>
      </c>
      <c r="AA69" s="697">
        <v>0</v>
      </c>
      <c r="AB69" s="697">
        <v>0</v>
      </c>
      <c r="AC69" s="697">
        <v>0</v>
      </c>
      <c r="AD69" s="697">
        <v>0</v>
      </c>
      <c r="AE69" s="697">
        <v>0</v>
      </c>
      <c r="AF69" s="697">
        <v>0</v>
      </c>
      <c r="AG69" s="697">
        <v>0</v>
      </c>
      <c r="AH69" s="697">
        <v>0</v>
      </c>
      <c r="AI69" s="697">
        <v>0</v>
      </c>
      <c r="AJ69" s="697">
        <v>0</v>
      </c>
      <c r="AK69" s="697">
        <v>0</v>
      </c>
      <c r="AL69" s="697">
        <v>0</v>
      </c>
      <c r="AM69" s="697">
        <v>0</v>
      </c>
      <c r="AN69" s="697">
        <v>0</v>
      </c>
      <c r="AO69" s="697">
        <v>0</v>
      </c>
      <c r="AP69" s="697">
        <v>0</v>
      </c>
      <c r="AQ69" s="697">
        <v>0</v>
      </c>
      <c r="AR69" s="697">
        <v>0</v>
      </c>
      <c r="AS69" s="697">
        <v>0</v>
      </c>
      <c r="AT69" s="697">
        <v>0</v>
      </c>
      <c r="AU69" s="697">
        <v>0</v>
      </c>
      <c r="AV69" s="697">
        <v>0</v>
      </c>
      <c r="AW69" s="697">
        <v>0</v>
      </c>
      <c r="AX69" s="697">
        <v>0</v>
      </c>
      <c r="AY69" s="697">
        <v>0</v>
      </c>
      <c r="AZ69" s="697">
        <v>0</v>
      </c>
      <c r="BA69" s="697">
        <v>0</v>
      </c>
      <c r="BB69" s="697">
        <v>0</v>
      </c>
      <c r="BC69" s="697">
        <v>0</v>
      </c>
      <c r="BD69" s="697">
        <v>0</v>
      </c>
      <c r="BE69" s="697">
        <v>0</v>
      </c>
      <c r="BF69" s="697">
        <v>0</v>
      </c>
      <c r="BG69" s="697">
        <f t="shared" si="5"/>
        <v>0</v>
      </c>
      <c r="BH69" s="697">
        <f t="shared" si="5"/>
        <v>0</v>
      </c>
      <c r="BI69" s="697">
        <f t="shared" si="5"/>
        <v>0</v>
      </c>
      <c r="BJ69" s="697">
        <f t="shared" si="5"/>
        <v>0</v>
      </c>
      <c r="BK69" s="690"/>
    </row>
    <row r="70" spans="1:64" ht="45.75" customHeight="1" x14ac:dyDescent="0.25">
      <c r="A70" s="698" t="s">
        <v>2230</v>
      </c>
      <c r="B70" s="935"/>
      <c r="C70" s="699">
        <f>+[10]InfMesPptoCDP.rpt!$P$535</f>
        <v>228575796</v>
      </c>
      <c r="D70" s="699">
        <f>+[10]InfMesPptoCDP.rpt!$Q$535</f>
        <v>226971401</v>
      </c>
      <c r="E70" s="699">
        <f>+[10]InfMesPptoCDP.rpt!$R$535</f>
        <v>226971401</v>
      </c>
      <c r="F70" s="699">
        <f>+[10]InfMesPptoCDP.rpt!$S$535</f>
        <v>225861463</v>
      </c>
      <c r="G70" s="700">
        <v>0</v>
      </c>
      <c r="H70" s="700">
        <v>0</v>
      </c>
      <c r="I70" s="700">
        <v>0</v>
      </c>
      <c r="J70" s="700">
        <v>0</v>
      </c>
      <c r="K70" s="700">
        <f>+[10]InfMesPptoCDP.rpt!$P$536</f>
        <v>40000000</v>
      </c>
      <c r="L70" s="700">
        <f>+[10]InfMesPptoCDP.rpt!$Q$536</f>
        <v>36385265</v>
      </c>
      <c r="M70" s="700">
        <f>+[10]InfMesPptoCDP.rpt!$R$536</f>
        <v>36385265</v>
      </c>
      <c r="N70" s="700">
        <f>+[10]InfMesPptoCDP.rpt!$S$536</f>
        <v>36385265</v>
      </c>
      <c r="O70" s="700">
        <v>0</v>
      </c>
      <c r="P70" s="700">
        <v>0</v>
      </c>
      <c r="Q70" s="700">
        <v>0</v>
      </c>
      <c r="R70" s="700">
        <v>0</v>
      </c>
      <c r="S70" s="700">
        <v>0</v>
      </c>
      <c r="T70" s="700">
        <v>0</v>
      </c>
      <c r="U70" s="700">
        <v>0</v>
      </c>
      <c r="V70" s="700">
        <v>0</v>
      </c>
      <c r="W70" s="700">
        <v>0</v>
      </c>
      <c r="X70" s="700">
        <v>0</v>
      </c>
      <c r="Y70" s="700">
        <v>0</v>
      </c>
      <c r="Z70" s="700">
        <v>0</v>
      </c>
      <c r="AA70" s="700">
        <v>0</v>
      </c>
      <c r="AB70" s="700">
        <v>0</v>
      </c>
      <c r="AC70" s="700">
        <v>0</v>
      </c>
      <c r="AD70" s="700">
        <v>0</v>
      </c>
      <c r="AE70" s="700">
        <f>+[10]InfMesPptoCDP.rpt!$P$537</f>
        <v>2000000</v>
      </c>
      <c r="AF70" s="700">
        <f>+[10]InfMesPptoCDP.rpt!$Q$537</f>
        <v>0</v>
      </c>
      <c r="AG70" s="700">
        <f>+[10]InfMesPptoCDP.rpt!$R$537</f>
        <v>0</v>
      </c>
      <c r="AH70" s="700">
        <f>+[10]InfMesPptoCDP.rpt!$S$537</f>
        <v>0</v>
      </c>
      <c r="AI70" s="700">
        <v>0</v>
      </c>
      <c r="AJ70" s="700">
        <v>0</v>
      </c>
      <c r="AK70" s="700">
        <v>0</v>
      </c>
      <c r="AL70" s="700">
        <v>0</v>
      </c>
      <c r="AM70" s="700">
        <v>0</v>
      </c>
      <c r="AN70" s="700">
        <v>0</v>
      </c>
      <c r="AO70" s="700">
        <v>0</v>
      </c>
      <c r="AP70" s="700">
        <v>0</v>
      </c>
      <c r="AQ70" s="700">
        <v>0</v>
      </c>
      <c r="AR70" s="700">
        <v>0</v>
      </c>
      <c r="AS70" s="700">
        <v>0</v>
      </c>
      <c r="AT70" s="700">
        <v>0</v>
      </c>
      <c r="AU70" s="700">
        <v>0</v>
      </c>
      <c r="AV70" s="700">
        <v>0</v>
      </c>
      <c r="AW70" s="700">
        <v>0</v>
      </c>
      <c r="AX70" s="700">
        <v>0</v>
      </c>
      <c r="AY70" s="700">
        <v>0</v>
      </c>
      <c r="AZ70" s="700">
        <v>0</v>
      </c>
      <c r="BA70" s="700">
        <v>0</v>
      </c>
      <c r="BB70" s="700">
        <v>0</v>
      </c>
      <c r="BC70" s="700">
        <v>0</v>
      </c>
      <c r="BD70" s="700">
        <v>0</v>
      </c>
      <c r="BE70" s="700">
        <v>0</v>
      </c>
      <c r="BF70" s="700">
        <v>0</v>
      </c>
      <c r="BG70" s="699">
        <f t="shared" ref="BG70:BJ102" si="33">+C70+G70+K70+O70+S70+W70+AA70+AE70+AI70+AM70+AQ70+AU70+AY70+BC70</f>
        <v>270575796</v>
      </c>
      <c r="BH70" s="699">
        <f t="shared" si="33"/>
        <v>263356666</v>
      </c>
      <c r="BI70" s="699">
        <f t="shared" si="33"/>
        <v>263356666</v>
      </c>
      <c r="BJ70" s="699">
        <f t="shared" si="33"/>
        <v>262246728</v>
      </c>
      <c r="BK70" s="701">
        <f>+SUM(BG69:BG70)-B69</f>
        <v>0</v>
      </c>
    </row>
    <row r="71" spans="1:64" ht="45.75" customHeight="1" x14ac:dyDescent="0.25">
      <c r="A71" s="607" t="s">
        <v>2231</v>
      </c>
      <c r="B71" s="693">
        <f>SUM(B72:B74)</f>
        <v>216359936</v>
      </c>
      <c r="C71" s="693">
        <f t="shared" ref="C71:BF71" si="34">SUM(C72:C74)</f>
        <v>216359936</v>
      </c>
      <c r="D71" s="693">
        <f t="shared" si="34"/>
        <v>209271582</v>
      </c>
      <c r="E71" s="693">
        <f t="shared" si="34"/>
        <v>209271582</v>
      </c>
      <c r="F71" s="693">
        <f t="shared" si="34"/>
        <v>207015662</v>
      </c>
      <c r="G71" s="693">
        <f t="shared" si="34"/>
        <v>0</v>
      </c>
      <c r="H71" s="693">
        <f t="shared" si="34"/>
        <v>0</v>
      </c>
      <c r="I71" s="693">
        <f t="shared" si="34"/>
        <v>0</v>
      </c>
      <c r="J71" s="693">
        <f t="shared" si="34"/>
        <v>0</v>
      </c>
      <c r="K71" s="693">
        <f t="shared" si="34"/>
        <v>0</v>
      </c>
      <c r="L71" s="693">
        <f t="shared" si="34"/>
        <v>0</v>
      </c>
      <c r="M71" s="693">
        <f t="shared" si="34"/>
        <v>0</v>
      </c>
      <c r="N71" s="693">
        <f t="shared" si="34"/>
        <v>0</v>
      </c>
      <c r="O71" s="693">
        <f t="shared" si="34"/>
        <v>0</v>
      </c>
      <c r="P71" s="693">
        <f t="shared" si="34"/>
        <v>0</v>
      </c>
      <c r="Q71" s="693">
        <f t="shared" si="34"/>
        <v>0</v>
      </c>
      <c r="R71" s="693">
        <f t="shared" si="34"/>
        <v>0</v>
      </c>
      <c r="S71" s="693">
        <f t="shared" si="34"/>
        <v>0</v>
      </c>
      <c r="T71" s="693">
        <f t="shared" si="34"/>
        <v>0</v>
      </c>
      <c r="U71" s="693">
        <f t="shared" si="34"/>
        <v>0</v>
      </c>
      <c r="V71" s="693">
        <f t="shared" si="34"/>
        <v>0</v>
      </c>
      <c r="W71" s="693">
        <f t="shared" si="34"/>
        <v>0</v>
      </c>
      <c r="X71" s="693">
        <f t="shared" si="34"/>
        <v>0</v>
      </c>
      <c r="Y71" s="693">
        <f t="shared" si="34"/>
        <v>0</v>
      </c>
      <c r="Z71" s="693">
        <f t="shared" si="34"/>
        <v>0</v>
      </c>
      <c r="AA71" s="693">
        <f t="shared" si="34"/>
        <v>0</v>
      </c>
      <c r="AB71" s="693">
        <f t="shared" si="34"/>
        <v>0</v>
      </c>
      <c r="AC71" s="693">
        <f t="shared" si="34"/>
        <v>0</v>
      </c>
      <c r="AD71" s="693">
        <f t="shared" si="34"/>
        <v>0</v>
      </c>
      <c r="AE71" s="693">
        <f t="shared" si="34"/>
        <v>0</v>
      </c>
      <c r="AF71" s="693">
        <f t="shared" si="34"/>
        <v>0</v>
      </c>
      <c r="AG71" s="693">
        <f t="shared" si="34"/>
        <v>0</v>
      </c>
      <c r="AH71" s="693">
        <f t="shared" si="34"/>
        <v>0</v>
      </c>
      <c r="AI71" s="693">
        <f t="shared" si="34"/>
        <v>0</v>
      </c>
      <c r="AJ71" s="693">
        <f t="shared" si="34"/>
        <v>0</v>
      </c>
      <c r="AK71" s="693">
        <f t="shared" si="34"/>
        <v>0</v>
      </c>
      <c r="AL71" s="693">
        <f t="shared" si="34"/>
        <v>0</v>
      </c>
      <c r="AM71" s="693">
        <f t="shared" si="34"/>
        <v>0</v>
      </c>
      <c r="AN71" s="693">
        <f t="shared" si="34"/>
        <v>0</v>
      </c>
      <c r="AO71" s="693">
        <f t="shared" si="34"/>
        <v>0</v>
      </c>
      <c r="AP71" s="693">
        <f t="shared" si="34"/>
        <v>0</v>
      </c>
      <c r="AQ71" s="693">
        <f t="shared" si="34"/>
        <v>0</v>
      </c>
      <c r="AR71" s="693">
        <f t="shared" si="34"/>
        <v>0</v>
      </c>
      <c r="AS71" s="693">
        <f t="shared" si="34"/>
        <v>0</v>
      </c>
      <c r="AT71" s="693">
        <f t="shared" si="34"/>
        <v>0</v>
      </c>
      <c r="AU71" s="693">
        <f t="shared" si="34"/>
        <v>0</v>
      </c>
      <c r="AV71" s="693">
        <f t="shared" si="34"/>
        <v>0</v>
      </c>
      <c r="AW71" s="693">
        <f t="shared" si="34"/>
        <v>0</v>
      </c>
      <c r="AX71" s="693">
        <f t="shared" si="34"/>
        <v>0</v>
      </c>
      <c r="AY71" s="693">
        <f t="shared" si="34"/>
        <v>0</v>
      </c>
      <c r="AZ71" s="693">
        <f t="shared" si="34"/>
        <v>0</v>
      </c>
      <c r="BA71" s="693">
        <f t="shared" si="34"/>
        <v>0</v>
      </c>
      <c r="BB71" s="693">
        <f t="shared" si="34"/>
        <v>0</v>
      </c>
      <c r="BC71" s="693">
        <f t="shared" si="34"/>
        <v>0</v>
      </c>
      <c r="BD71" s="693">
        <f t="shared" si="34"/>
        <v>0</v>
      </c>
      <c r="BE71" s="693">
        <f t="shared" si="34"/>
        <v>0</v>
      </c>
      <c r="BF71" s="693">
        <f t="shared" si="34"/>
        <v>0</v>
      </c>
      <c r="BG71" s="693">
        <f t="shared" si="33"/>
        <v>216359936</v>
      </c>
      <c r="BH71" s="693">
        <f t="shared" si="33"/>
        <v>209271582</v>
      </c>
      <c r="BI71" s="693">
        <f t="shared" si="33"/>
        <v>209271582</v>
      </c>
      <c r="BJ71" s="693">
        <f t="shared" si="33"/>
        <v>207015662</v>
      </c>
      <c r="BK71" s="694">
        <f>+SUM(BG72:BG74)-BG71</f>
        <v>0</v>
      </c>
      <c r="BL71" s="695">
        <f>+BG71-B71</f>
        <v>0</v>
      </c>
    </row>
    <row r="72" spans="1:64" ht="45.75" customHeight="1" x14ac:dyDescent="0.25">
      <c r="A72" s="698" t="s">
        <v>2232</v>
      </c>
      <c r="B72" s="933">
        <f>+[10]InfMesPptoCDP.rpt!$P$544</f>
        <v>216359936</v>
      </c>
      <c r="C72" s="699">
        <f>216359936/3</f>
        <v>72119978.666666672</v>
      </c>
      <c r="D72" s="699">
        <f t="shared" ref="D72:E74" si="35">209271582/3</f>
        <v>69757194</v>
      </c>
      <c r="E72" s="699">
        <f t="shared" si="35"/>
        <v>69757194</v>
      </c>
      <c r="F72" s="699">
        <f>207015662/3</f>
        <v>69005220.666666672</v>
      </c>
      <c r="G72" s="700">
        <v>0</v>
      </c>
      <c r="H72" s="700">
        <v>0</v>
      </c>
      <c r="I72" s="700">
        <v>0</v>
      </c>
      <c r="J72" s="700">
        <v>0</v>
      </c>
      <c r="K72" s="700">
        <v>0</v>
      </c>
      <c r="L72" s="700">
        <v>0</v>
      </c>
      <c r="M72" s="700">
        <v>0</v>
      </c>
      <c r="N72" s="700">
        <v>0</v>
      </c>
      <c r="O72" s="700">
        <v>0</v>
      </c>
      <c r="P72" s="700">
        <v>0</v>
      </c>
      <c r="Q72" s="700">
        <v>0</v>
      </c>
      <c r="R72" s="700">
        <v>0</v>
      </c>
      <c r="S72" s="700">
        <v>0</v>
      </c>
      <c r="T72" s="700">
        <v>0</v>
      </c>
      <c r="U72" s="700">
        <v>0</v>
      </c>
      <c r="V72" s="700">
        <v>0</v>
      </c>
      <c r="W72" s="700">
        <v>0</v>
      </c>
      <c r="X72" s="700">
        <v>0</v>
      </c>
      <c r="Y72" s="700">
        <v>0</v>
      </c>
      <c r="Z72" s="700">
        <v>0</v>
      </c>
      <c r="AA72" s="700">
        <v>0</v>
      </c>
      <c r="AB72" s="700">
        <v>0</v>
      </c>
      <c r="AC72" s="700">
        <v>0</v>
      </c>
      <c r="AD72" s="700">
        <v>0</v>
      </c>
      <c r="AE72" s="700">
        <v>0</v>
      </c>
      <c r="AF72" s="700">
        <v>0</v>
      </c>
      <c r="AG72" s="700">
        <v>0</v>
      </c>
      <c r="AH72" s="700">
        <v>0</v>
      </c>
      <c r="AI72" s="700">
        <v>0</v>
      </c>
      <c r="AJ72" s="700">
        <v>0</v>
      </c>
      <c r="AK72" s="700">
        <v>0</v>
      </c>
      <c r="AL72" s="700">
        <v>0</v>
      </c>
      <c r="AM72" s="700">
        <v>0</v>
      </c>
      <c r="AN72" s="700">
        <v>0</v>
      </c>
      <c r="AO72" s="700">
        <v>0</v>
      </c>
      <c r="AP72" s="700">
        <v>0</v>
      </c>
      <c r="AQ72" s="700">
        <v>0</v>
      </c>
      <c r="AR72" s="700">
        <v>0</v>
      </c>
      <c r="AS72" s="700">
        <v>0</v>
      </c>
      <c r="AT72" s="700">
        <v>0</v>
      </c>
      <c r="AU72" s="700">
        <v>0</v>
      </c>
      <c r="AV72" s="700">
        <v>0</v>
      </c>
      <c r="AW72" s="700">
        <v>0</v>
      </c>
      <c r="AX72" s="700">
        <v>0</v>
      </c>
      <c r="AY72" s="700">
        <v>0</v>
      </c>
      <c r="AZ72" s="700">
        <v>0</v>
      </c>
      <c r="BA72" s="700">
        <v>0</v>
      </c>
      <c r="BB72" s="700">
        <v>0</v>
      </c>
      <c r="BC72" s="700">
        <v>0</v>
      </c>
      <c r="BD72" s="700">
        <v>0</v>
      </c>
      <c r="BE72" s="700">
        <v>0</v>
      </c>
      <c r="BF72" s="700">
        <v>0</v>
      </c>
      <c r="BG72" s="699">
        <f t="shared" si="33"/>
        <v>72119978.666666672</v>
      </c>
      <c r="BH72" s="699">
        <f t="shared" si="33"/>
        <v>69757194</v>
      </c>
      <c r="BI72" s="699">
        <f t="shared" si="33"/>
        <v>69757194</v>
      </c>
      <c r="BJ72" s="699">
        <f t="shared" si="33"/>
        <v>69005220.666666672</v>
      </c>
      <c r="BK72" s="690"/>
    </row>
    <row r="73" spans="1:64" ht="45.75" customHeight="1" x14ac:dyDescent="0.25">
      <c r="A73" s="698" t="s">
        <v>2233</v>
      </c>
      <c r="B73" s="934"/>
      <c r="C73" s="699">
        <f>216359936/3</f>
        <v>72119978.666666672</v>
      </c>
      <c r="D73" s="699">
        <f t="shared" si="35"/>
        <v>69757194</v>
      </c>
      <c r="E73" s="699">
        <f t="shared" si="35"/>
        <v>69757194</v>
      </c>
      <c r="F73" s="699">
        <f>207015662/3</f>
        <v>69005220.666666672</v>
      </c>
      <c r="G73" s="700">
        <v>0</v>
      </c>
      <c r="H73" s="700">
        <v>0</v>
      </c>
      <c r="I73" s="700">
        <v>0</v>
      </c>
      <c r="J73" s="700">
        <v>0</v>
      </c>
      <c r="K73" s="700">
        <v>0</v>
      </c>
      <c r="L73" s="700">
        <v>0</v>
      </c>
      <c r="M73" s="700">
        <v>0</v>
      </c>
      <c r="N73" s="700">
        <v>0</v>
      </c>
      <c r="O73" s="700">
        <v>0</v>
      </c>
      <c r="P73" s="700">
        <v>0</v>
      </c>
      <c r="Q73" s="700">
        <v>0</v>
      </c>
      <c r="R73" s="700">
        <v>0</v>
      </c>
      <c r="S73" s="700">
        <v>0</v>
      </c>
      <c r="T73" s="700">
        <v>0</v>
      </c>
      <c r="U73" s="700">
        <v>0</v>
      </c>
      <c r="V73" s="700">
        <v>0</v>
      </c>
      <c r="W73" s="700">
        <v>0</v>
      </c>
      <c r="X73" s="700">
        <v>0</v>
      </c>
      <c r="Y73" s="700">
        <v>0</v>
      </c>
      <c r="Z73" s="700">
        <v>0</v>
      </c>
      <c r="AA73" s="700">
        <v>0</v>
      </c>
      <c r="AB73" s="700">
        <v>0</v>
      </c>
      <c r="AC73" s="700">
        <v>0</v>
      </c>
      <c r="AD73" s="700">
        <v>0</v>
      </c>
      <c r="AE73" s="700">
        <v>0</v>
      </c>
      <c r="AF73" s="700">
        <v>0</v>
      </c>
      <c r="AG73" s="700">
        <v>0</v>
      </c>
      <c r="AH73" s="700">
        <v>0</v>
      </c>
      <c r="AI73" s="700">
        <v>0</v>
      </c>
      <c r="AJ73" s="700">
        <v>0</v>
      </c>
      <c r="AK73" s="700">
        <v>0</v>
      </c>
      <c r="AL73" s="700">
        <v>0</v>
      </c>
      <c r="AM73" s="700">
        <v>0</v>
      </c>
      <c r="AN73" s="700">
        <v>0</v>
      </c>
      <c r="AO73" s="700">
        <v>0</v>
      </c>
      <c r="AP73" s="700">
        <v>0</v>
      </c>
      <c r="AQ73" s="700">
        <v>0</v>
      </c>
      <c r="AR73" s="700">
        <v>0</v>
      </c>
      <c r="AS73" s="700">
        <v>0</v>
      </c>
      <c r="AT73" s="700">
        <v>0</v>
      </c>
      <c r="AU73" s="700">
        <v>0</v>
      </c>
      <c r="AV73" s="700">
        <v>0</v>
      </c>
      <c r="AW73" s="700">
        <v>0</v>
      </c>
      <c r="AX73" s="700">
        <v>0</v>
      </c>
      <c r="AY73" s="700">
        <v>0</v>
      </c>
      <c r="AZ73" s="700">
        <v>0</v>
      </c>
      <c r="BA73" s="700">
        <v>0</v>
      </c>
      <c r="BB73" s="700">
        <v>0</v>
      </c>
      <c r="BC73" s="700">
        <v>0</v>
      </c>
      <c r="BD73" s="700">
        <v>0</v>
      </c>
      <c r="BE73" s="700">
        <v>0</v>
      </c>
      <c r="BF73" s="700">
        <v>0</v>
      </c>
      <c r="BG73" s="699">
        <f t="shared" si="33"/>
        <v>72119978.666666672</v>
      </c>
      <c r="BH73" s="699">
        <f t="shared" si="33"/>
        <v>69757194</v>
      </c>
      <c r="BI73" s="699">
        <f t="shared" si="33"/>
        <v>69757194</v>
      </c>
      <c r="BJ73" s="699">
        <f t="shared" si="33"/>
        <v>69005220.666666672</v>
      </c>
      <c r="BK73" s="690"/>
    </row>
    <row r="74" spans="1:64" ht="45.75" customHeight="1" x14ac:dyDescent="0.25">
      <c r="A74" s="698" t="s">
        <v>2234</v>
      </c>
      <c r="B74" s="935"/>
      <c r="C74" s="699">
        <f>216359936/3</f>
        <v>72119978.666666672</v>
      </c>
      <c r="D74" s="699">
        <f t="shared" si="35"/>
        <v>69757194</v>
      </c>
      <c r="E74" s="699">
        <f t="shared" si="35"/>
        <v>69757194</v>
      </c>
      <c r="F74" s="699">
        <f>207015662/3</f>
        <v>69005220.666666672</v>
      </c>
      <c r="G74" s="700">
        <v>0</v>
      </c>
      <c r="H74" s="700">
        <v>0</v>
      </c>
      <c r="I74" s="700">
        <v>0</v>
      </c>
      <c r="J74" s="700">
        <v>0</v>
      </c>
      <c r="K74" s="700">
        <v>0</v>
      </c>
      <c r="L74" s="700">
        <v>0</v>
      </c>
      <c r="M74" s="700">
        <v>0</v>
      </c>
      <c r="N74" s="700">
        <v>0</v>
      </c>
      <c r="O74" s="700">
        <v>0</v>
      </c>
      <c r="P74" s="700">
        <v>0</v>
      </c>
      <c r="Q74" s="700">
        <v>0</v>
      </c>
      <c r="R74" s="700">
        <v>0</v>
      </c>
      <c r="S74" s="700">
        <v>0</v>
      </c>
      <c r="T74" s="700">
        <v>0</v>
      </c>
      <c r="U74" s="700">
        <v>0</v>
      </c>
      <c r="V74" s="700">
        <v>0</v>
      </c>
      <c r="W74" s="700">
        <v>0</v>
      </c>
      <c r="X74" s="700">
        <v>0</v>
      </c>
      <c r="Y74" s="700">
        <v>0</v>
      </c>
      <c r="Z74" s="700">
        <v>0</v>
      </c>
      <c r="AA74" s="700">
        <v>0</v>
      </c>
      <c r="AB74" s="700">
        <v>0</v>
      </c>
      <c r="AC74" s="700">
        <v>0</v>
      </c>
      <c r="AD74" s="700">
        <v>0</v>
      </c>
      <c r="AE74" s="700">
        <v>0</v>
      </c>
      <c r="AF74" s="700">
        <v>0</v>
      </c>
      <c r="AG74" s="700">
        <v>0</v>
      </c>
      <c r="AH74" s="700">
        <v>0</v>
      </c>
      <c r="AI74" s="700">
        <v>0</v>
      </c>
      <c r="AJ74" s="700">
        <v>0</v>
      </c>
      <c r="AK74" s="700">
        <v>0</v>
      </c>
      <c r="AL74" s="700">
        <v>0</v>
      </c>
      <c r="AM74" s="700">
        <v>0</v>
      </c>
      <c r="AN74" s="700">
        <v>0</v>
      </c>
      <c r="AO74" s="700">
        <v>0</v>
      </c>
      <c r="AP74" s="700">
        <v>0</v>
      </c>
      <c r="AQ74" s="700">
        <v>0</v>
      </c>
      <c r="AR74" s="700">
        <v>0</v>
      </c>
      <c r="AS74" s="700">
        <v>0</v>
      </c>
      <c r="AT74" s="700">
        <v>0</v>
      </c>
      <c r="AU74" s="700">
        <v>0</v>
      </c>
      <c r="AV74" s="700">
        <v>0</v>
      </c>
      <c r="AW74" s="700">
        <v>0</v>
      </c>
      <c r="AX74" s="700">
        <v>0</v>
      </c>
      <c r="AY74" s="700">
        <v>0</v>
      </c>
      <c r="AZ74" s="700">
        <v>0</v>
      </c>
      <c r="BA74" s="700">
        <v>0</v>
      </c>
      <c r="BB74" s="700">
        <v>0</v>
      </c>
      <c r="BC74" s="700">
        <v>0</v>
      </c>
      <c r="BD74" s="700">
        <v>0</v>
      </c>
      <c r="BE74" s="700">
        <v>0</v>
      </c>
      <c r="BF74" s="700">
        <v>0</v>
      </c>
      <c r="BG74" s="699">
        <f t="shared" si="33"/>
        <v>72119978.666666672</v>
      </c>
      <c r="BH74" s="699">
        <f t="shared" si="33"/>
        <v>69757194</v>
      </c>
      <c r="BI74" s="699">
        <f t="shared" si="33"/>
        <v>69757194</v>
      </c>
      <c r="BJ74" s="699">
        <f t="shared" si="33"/>
        <v>69005220.666666672</v>
      </c>
      <c r="BK74" s="701">
        <f>+SUM(BG72:BG74)-B72</f>
        <v>0</v>
      </c>
    </row>
    <row r="75" spans="1:64" ht="45.75" customHeight="1" x14ac:dyDescent="0.25">
      <c r="A75" s="607" t="s">
        <v>2235</v>
      </c>
      <c r="B75" s="693">
        <f>SUM(B76:B82)</f>
        <v>1773441258.1299999</v>
      </c>
      <c r="C75" s="693">
        <f t="shared" ref="C75:BF75" si="36">SUM(C76:C82)</f>
        <v>1723441258.1299999</v>
      </c>
      <c r="D75" s="693">
        <f t="shared" si="36"/>
        <v>1721277332.03</v>
      </c>
      <c r="E75" s="693">
        <f t="shared" si="36"/>
        <v>1715277332.0299997</v>
      </c>
      <c r="F75" s="693">
        <f t="shared" si="36"/>
        <v>1501486770.0300002</v>
      </c>
      <c r="G75" s="693">
        <f t="shared" si="36"/>
        <v>0</v>
      </c>
      <c r="H75" s="693">
        <f t="shared" si="36"/>
        <v>0</v>
      </c>
      <c r="I75" s="693">
        <f t="shared" si="36"/>
        <v>0</v>
      </c>
      <c r="J75" s="693">
        <f t="shared" si="36"/>
        <v>0</v>
      </c>
      <c r="K75" s="693">
        <f t="shared" si="36"/>
        <v>0</v>
      </c>
      <c r="L75" s="693">
        <f t="shared" si="36"/>
        <v>0</v>
      </c>
      <c r="M75" s="693">
        <f t="shared" si="36"/>
        <v>0</v>
      </c>
      <c r="N75" s="693">
        <f t="shared" si="36"/>
        <v>0</v>
      </c>
      <c r="O75" s="693">
        <f t="shared" si="36"/>
        <v>0</v>
      </c>
      <c r="P75" s="693">
        <f t="shared" si="36"/>
        <v>0</v>
      </c>
      <c r="Q75" s="693">
        <f t="shared" si="36"/>
        <v>0</v>
      </c>
      <c r="R75" s="693">
        <f t="shared" si="36"/>
        <v>0</v>
      </c>
      <c r="S75" s="693">
        <f t="shared" si="36"/>
        <v>0</v>
      </c>
      <c r="T75" s="693">
        <f t="shared" si="36"/>
        <v>0</v>
      </c>
      <c r="U75" s="693">
        <f t="shared" si="36"/>
        <v>0</v>
      </c>
      <c r="V75" s="693">
        <f t="shared" si="36"/>
        <v>0</v>
      </c>
      <c r="W75" s="693">
        <f t="shared" si="36"/>
        <v>0</v>
      </c>
      <c r="X75" s="693">
        <f t="shared" si="36"/>
        <v>0</v>
      </c>
      <c r="Y75" s="693">
        <f t="shared" si="36"/>
        <v>0</v>
      </c>
      <c r="Z75" s="693">
        <f t="shared" si="36"/>
        <v>0</v>
      </c>
      <c r="AA75" s="693">
        <f t="shared" si="36"/>
        <v>0</v>
      </c>
      <c r="AB75" s="693">
        <f t="shared" si="36"/>
        <v>0</v>
      </c>
      <c r="AC75" s="693">
        <f t="shared" si="36"/>
        <v>0</v>
      </c>
      <c r="AD75" s="693">
        <f t="shared" si="36"/>
        <v>0</v>
      </c>
      <c r="AE75" s="693">
        <f t="shared" si="36"/>
        <v>50000000</v>
      </c>
      <c r="AF75" s="693">
        <f t="shared" si="36"/>
        <v>49906913</v>
      </c>
      <c r="AG75" s="693">
        <f t="shared" si="36"/>
        <v>47855908.999999993</v>
      </c>
      <c r="AH75" s="693">
        <f t="shared" si="36"/>
        <v>47855908.999999993</v>
      </c>
      <c r="AI75" s="693">
        <f t="shared" si="36"/>
        <v>0</v>
      </c>
      <c r="AJ75" s="693">
        <f t="shared" si="36"/>
        <v>0</v>
      </c>
      <c r="AK75" s="693">
        <f t="shared" si="36"/>
        <v>0</v>
      </c>
      <c r="AL75" s="693">
        <f t="shared" si="36"/>
        <v>0</v>
      </c>
      <c r="AM75" s="693">
        <f t="shared" si="36"/>
        <v>0</v>
      </c>
      <c r="AN75" s="693">
        <f t="shared" si="36"/>
        <v>0</v>
      </c>
      <c r="AO75" s="693">
        <f t="shared" si="36"/>
        <v>0</v>
      </c>
      <c r="AP75" s="693">
        <f t="shared" si="36"/>
        <v>0</v>
      </c>
      <c r="AQ75" s="693">
        <f t="shared" si="36"/>
        <v>0</v>
      </c>
      <c r="AR75" s="693">
        <f t="shared" si="36"/>
        <v>0</v>
      </c>
      <c r="AS75" s="693">
        <f t="shared" si="36"/>
        <v>0</v>
      </c>
      <c r="AT75" s="693">
        <f t="shared" si="36"/>
        <v>0</v>
      </c>
      <c r="AU75" s="693">
        <f t="shared" si="36"/>
        <v>0</v>
      </c>
      <c r="AV75" s="693">
        <f t="shared" si="36"/>
        <v>0</v>
      </c>
      <c r="AW75" s="693">
        <f t="shared" si="36"/>
        <v>0</v>
      </c>
      <c r="AX75" s="693">
        <f t="shared" si="36"/>
        <v>0</v>
      </c>
      <c r="AY75" s="693">
        <f t="shared" si="36"/>
        <v>0</v>
      </c>
      <c r="AZ75" s="693">
        <f t="shared" si="36"/>
        <v>0</v>
      </c>
      <c r="BA75" s="693">
        <f t="shared" si="36"/>
        <v>0</v>
      </c>
      <c r="BB75" s="693">
        <f t="shared" si="36"/>
        <v>0</v>
      </c>
      <c r="BC75" s="693">
        <f t="shared" si="36"/>
        <v>0</v>
      </c>
      <c r="BD75" s="693">
        <f t="shared" si="36"/>
        <v>0</v>
      </c>
      <c r="BE75" s="693">
        <f t="shared" si="36"/>
        <v>0</v>
      </c>
      <c r="BF75" s="693">
        <f t="shared" si="36"/>
        <v>0</v>
      </c>
      <c r="BG75" s="693">
        <f t="shared" si="33"/>
        <v>1773441258.1299999</v>
      </c>
      <c r="BH75" s="693">
        <f t="shared" si="33"/>
        <v>1771184245.03</v>
      </c>
      <c r="BI75" s="693">
        <f t="shared" si="33"/>
        <v>1763133241.0299997</v>
      </c>
      <c r="BJ75" s="693">
        <f t="shared" si="33"/>
        <v>1549342679.0300002</v>
      </c>
      <c r="BK75" s="694">
        <f>+SUM(BG76:BG82)-B75</f>
        <v>0</v>
      </c>
      <c r="BL75" s="695">
        <f>+BG75-B75</f>
        <v>0</v>
      </c>
    </row>
    <row r="76" spans="1:64" ht="45.75" customHeight="1" x14ac:dyDescent="0.25">
      <c r="A76" s="698" t="s">
        <v>2236</v>
      </c>
      <c r="B76" s="933">
        <f>+[10]InfMesPptoCDP.rpt!$P$553</f>
        <v>1773441258.1299999</v>
      </c>
      <c r="C76" s="699">
        <f t="shared" ref="C76:C82" si="37">1723441258.13/7</f>
        <v>246205894.01857144</v>
      </c>
      <c r="D76" s="699">
        <f t="shared" ref="D76:D82" si="38">1721277332.03/7</f>
        <v>245896761.71857142</v>
      </c>
      <c r="E76" s="699">
        <f t="shared" ref="E76:E82" si="39">1715277332.03/7</f>
        <v>245039618.86142856</v>
      </c>
      <c r="F76" s="699">
        <f t="shared" ref="F76:F82" si="40">1501486770.03/7</f>
        <v>214498110.00428572</v>
      </c>
      <c r="G76" s="700">
        <v>0</v>
      </c>
      <c r="H76" s="700">
        <v>0</v>
      </c>
      <c r="I76" s="700">
        <v>0</v>
      </c>
      <c r="J76" s="700">
        <v>0</v>
      </c>
      <c r="K76" s="700">
        <v>0</v>
      </c>
      <c r="L76" s="700">
        <v>0</v>
      </c>
      <c r="M76" s="700">
        <v>0</v>
      </c>
      <c r="N76" s="700">
        <v>0</v>
      </c>
      <c r="O76" s="700">
        <v>0</v>
      </c>
      <c r="P76" s="700">
        <v>0</v>
      </c>
      <c r="Q76" s="700">
        <v>0</v>
      </c>
      <c r="R76" s="700">
        <v>0</v>
      </c>
      <c r="S76" s="700">
        <v>0</v>
      </c>
      <c r="T76" s="700">
        <v>0</v>
      </c>
      <c r="U76" s="700">
        <v>0</v>
      </c>
      <c r="V76" s="700">
        <v>0</v>
      </c>
      <c r="W76" s="700">
        <v>0</v>
      </c>
      <c r="X76" s="700">
        <v>0</v>
      </c>
      <c r="Y76" s="700">
        <v>0</v>
      </c>
      <c r="Z76" s="700">
        <v>0</v>
      </c>
      <c r="AA76" s="700">
        <v>0</v>
      </c>
      <c r="AB76" s="700">
        <v>0</v>
      </c>
      <c r="AC76" s="700">
        <v>0</v>
      </c>
      <c r="AD76" s="700">
        <v>0</v>
      </c>
      <c r="AE76" s="699">
        <f t="shared" ref="AE76:AE82" si="41">50000000/7</f>
        <v>7142857.1428571427</v>
      </c>
      <c r="AF76" s="699">
        <f t="shared" ref="AF76:AF82" si="42">49906913/7</f>
        <v>7129559</v>
      </c>
      <c r="AG76" s="699">
        <f t="shared" ref="AG76:AH82" si="43">47855909/7</f>
        <v>6836558.4285714282</v>
      </c>
      <c r="AH76" s="699">
        <f t="shared" si="43"/>
        <v>6836558.4285714282</v>
      </c>
      <c r="AI76" s="700">
        <v>0</v>
      </c>
      <c r="AJ76" s="700">
        <v>0</v>
      </c>
      <c r="AK76" s="700">
        <v>0</v>
      </c>
      <c r="AL76" s="700">
        <v>0</v>
      </c>
      <c r="AM76" s="700">
        <v>0</v>
      </c>
      <c r="AN76" s="700">
        <v>0</v>
      </c>
      <c r="AO76" s="700">
        <v>0</v>
      </c>
      <c r="AP76" s="700">
        <v>0</v>
      </c>
      <c r="AQ76" s="700">
        <v>0</v>
      </c>
      <c r="AR76" s="700">
        <v>0</v>
      </c>
      <c r="AS76" s="700">
        <v>0</v>
      </c>
      <c r="AT76" s="700">
        <v>0</v>
      </c>
      <c r="AU76" s="700">
        <v>0</v>
      </c>
      <c r="AV76" s="700">
        <v>0</v>
      </c>
      <c r="AW76" s="700">
        <v>0</v>
      </c>
      <c r="AX76" s="700">
        <v>0</v>
      </c>
      <c r="AY76" s="700">
        <v>0</v>
      </c>
      <c r="AZ76" s="700">
        <v>0</v>
      </c>
      <c r="BA76" s="700">
        <v>0</v>
      </c>
      <c r="BB76" s="700">
        <v>0</v>
      </c>
      <c r="BC76" s="700">
        <v>0</v>
      </c>
      <c r="BD76" s="700">
        <v>0</v>
      </c>
      <c r="BE76" s="700">
        <v>0</v>
      </c>
      <c r="BF76" s="700">
        <v>0</v>
      </c>
      <c r="BG76" s="699">
        <f t="shared" si="33"/>
        <v>253348751.16142857</v>
      </c>
      <c r="BH76" s="699">
        <f t="shared" si="33"/>
        <v>253026320.71857142</v>
      </c>
      <c r="BI76" s="699">
        <f t="shared" si="33"/>
        <v>251876177.28999999</v>
      </c>
      <c r="BJ76" s="699">
        <f t="shared" si="33"/>
        <v>221334668.43285716</v>
      </c>
      <c r="BK76" s="690"/>
    </row>
    <row r="77" spans="1:64" ht="45.75" customHeight="1" x14ac:dyDescent="0.25">
      <c r="A77" s="698" t="s">
        <v>2237</v>
      </c>
      <c r="B77" s="934"/>
      <c r="C77" s="699">
        <f t="shared" si="37"/>
        <v>246205894.01857144</v>
      </c>
      <c r="D77" s="699">
        <f t="shared" si="38"/>
        <v>245896761.71857142</v>
      </c>
      <c r="E77" s="699">
        <f t="shared" si="39"/>
        <v>245039618.86142856</v>
      </c>
      <c r="F77" s="699">
        <f t="shared" si="40"/>
        <v>214498110.00428572</v>
      </c>
      <c r="G77" s="700">
        <v>0</v>
      </c>
      <c r="H77" s="700">
        <v>0</v>
      </c>
      <c r="I77" s="700">
        <v>0</v>
      </c>
      <c r="J77" s="700">
        <v>0</v>
      </c>
      <c r="K77" s="700">
        <v>0</v>
      </c>
      <c r="L77" s="700">
        <v>0</v>
      </c>
      <c r="M77" s="700">
        <v>0</v>
      </c>
      <c r="N77" s="700">
        <v>0</v>
      </c>
      <c r="O77" s="700">
        <v>0</v>
      </c>
      <c r="P77" s="700">
        <v>0</v>
      </c>
      <c r="Q77" s="700">
        <v>0</v>
      </c>
      <c r="R77" s="700">
        <v>0</v>
      </c>
      <c r="S77" s="700">
        <v>0</v>
      </c>
      <c r="T77" s="700">
        <v>0</v>
      </c>
      <c r="U77" s="700">
        <v>0</v>
      </c>
      <c r="V77" s="700">
        <v>0</v>
      </c>
      <c r="W77" s="700">
        <v>0</v>
      </c>
      <c r="X77" s="700">
        <v>0</v>
      </c>
      <c r="Y77" s="700">
        <v>0</v>
      </c>
      <c r="Z77" s="700">
        <v>0</v>
      </c>
      <c r="AA77" s="700">
        <v>0</v>
      </c>
      <c r="AB77" s="700">
        <v>0</v>
      </c>
      <c r="AC77" s="700">
        <v>0</v>
      </c>
      <c r="AD77" s="700">
        <v>0</v>
      </c>
      <c r="AE77" s="699">
        <f t="shared" si="41"/>
        <v>7142857.1428571427</v>
      </c>
      <c r="AF77" s="699">
        <f t="shared" si="42"/>
        <v>7129559</v>
      </c>
      <c r="AG77" s="699">
        <f t="shared" si="43"/>
        <v>6836558.4285714282</v>
      </c>
      <c r="AH77" s="699">
        <f t="shared" si="43"/>
        <v>6836558.4285714282</v>
      </c>
      <c r="AI77" s="700">
        <v>0</v>
      </c>
      <c r="AJ77" s="700">
        <v>0</v>
      </c>
      <c r="AK77" s="700">
        <v>0</v>
      </c>
      <c r="AL77" s="700">
        <v>0</v>
      </c>
      <c r="AM77" s="700">
        <v>0</v>
      </c>
      <c r="AN77" s="700">
        <v>0</v>
      </c>
      <c r="AO77" s="700">
        <v>0</v>
      </c>
      <c r="AP77" s="700">
        <v>0</v>
      </c>
      <c r="AQ77" s="700">
        <v>0</v>
      </c>
      <c r="AR77" s="700">
        <v>0</v>
      </c>
      <c r="AS77" s="700">
        <v>0</v>
      </c>
      <c r="AT77" s="700">
        <v>0</v>
      </c>
      <c r="AU77" s="700">
        <v>0</v>
      </c>
      <c r="AV77" s="700">
        <v>0</v>
      </c>
      <c r="AW77" s="700">
        <v>0</v>
      </c>
      <c r="AX77" s="700">
        <v>0</v>
      </c>
      <c r="AY77" s="700">
        <v>0</v>
      </c>
      <c r="AZ77" s="700">
        <v>0</v>
      </c>
      <c r="BA77" s="700">
        <v>0</v>
      </c>
      <c r="BB77" s="700">
        <v>0</v>
      </c>
      <c r="BC77" s="700">
        <v>0</v>
      </c>
      <c r="BD77" s="700">
        <v>0</v>
      </c>
      <c r="BE77" s="700">
        <v>0</v>
      </c>
      <c r="BF77" s="700">
        <v>0</v>
      </c>
      <c r="BG77" s="699">
        <f t="shared" si="33"/>
        <v>253348751.16142857</v>
      </c>
      <c r="BH77" s="699">
        <f t="shared" si="33"/>
        <v>253026320.71857142</v>
      </c>
      <c r="BI77" s="699">
        <f t="shared" si="33"/>
        <v>251876177.28999999</v>
      </c>
      <c r="BJ77" s="699">
        <f t="shared" si="33"/>
        <v>221334668.43285716</v>
      </c>
      <c r="BK77" s="690"/>
    </row>
    <row r="78" spans="1:64" ht="45.75" customHeight="1" x14ac:dyDescent="0.25">
      <c r="A78" s="698" t="s">
        <v>2238</v>
      </c>
      <c r="B78" s="934"/>
      <c r="C78" s="699">
        <f t="shared" si="37"/>
        <v>246205894.01857144</v>
      </c>
      <c r="D78" s="699">
        <f t="shared" si="38"/>
        <v>245896761.71857142</v>
      </c>
      <c r="E78" s="699">
        <f t="shared" si="39"/>
        <v>245039618.86142856</v>
      </c>
      <c r="F78" s="699">
        <f t="shared" si="40"/>
        <v>214498110.00428572</v>
      </c>
      <c r="G78" s="700">
        <v>0</v>
      </c>
      <c r="H78" s="700">
        <v>0</v>
      </c>
      <c r="I78" s="700">
        <v>0</v>
      </c>
      <c r="J78" s="700">
        <v>0</v>
      </c>
      <c r="K78" s="700">
        <v>0</v>
      </c>
      <c r="L78" s="700">
        <v>0</v>
      </c>
      <c r="M78" s="700">
        <v>0</v>
      </c>
      <c r="N78" s="700">
        <v>0</v>
      </c>
      <c r="O78" s="700">
        <v>0</v>
      </c>
      <c r="P78" s="700">
        <v>0</v>
      </c>
      <c r="Q78" s="700">
        <v>0</v>
      </c>
      <c r="R78" s="700">
        <v>0</v>
      </c>
      <c r="S78" s="700">
        <v>0</v>
      </c>
      <c r="T78" s="700">
        <v>0</v>
      </c>
      <c r="U78" s="700">
        <v>0</v>
      </c>
      <c r="V78" s="700">
        <v>0</v>
      </c>
      <c r="W78" s="700">
        <v>0</v>
      </c>
      <c r="X78" s="700">
        <v>0</v>
      </c>
      <c r="Y78" s="700">
        <v>0</v>
      </c>
      <c r="Z78" s="700">
        <v>0</v>
      </c>
      <c r="AA78" s="700">
        <v>0</v>
      </c>
      <c r="AB78" s="700">
        <v>0</v>
      </c>
      <c r="AC78" s="700">
        <v>0</v>
      </c>
      <c r="AD78" s="700">
        <v>0</v>
      </c>
      <c r="AE78" s="699">
        <f t="shared" si="41"/>
        <v>7142857.1428571427</v>
      </c>
      <c r="AF78" s="699">
        <f t="shared" si="42"/>
        <v>7129559</v>
      </c>
      <c r="AG78" s="699">
        <f t="shared" si="43"/>
        <v>6836558.4285714282</v>
      </c>
      <c r="AH78" s="699">
        <f t="shared" si="43"/>
        <v>6836558.4285714282</v>
      </c>
      <c r="AI78" s="700">
        <v>0</v>
      </c>
      <c r="AJ78" s="700">
        <v>0</v>
      </c>
      <c r="AK78" s="700">
        <v>0</v>
      </c>
      <c r="AL78" s="700">
        <v>0</v>
      </c>
      <c r="AM78" s="700">
        <v>0</v>
      </c>
      <c r="AN78" s="700">
        <v>0</v>
      </c>
      <c r="AO78" s="700">
        <v>0</v>
      </c>
      <c r="AP78" s="700">
        <v>0</v>
      </c>
      <c r="AQ78" s="700">
        <v>0</v>
      </c>
      <c r="AR78" s="700">
        <v>0</v>
      </c>
      <c r="AS78" s="700">
        <v>0</v>
      </c>
      <c r="AT78" s="700">
        <v>0</v>
      </c>
      <c r="AU78" s="700">
        <v>0</v>
      </c>
      <c r="AV78" s="700">
        <v>0</v>
      </c>
      <c r="AW78" s="700">
        <v>0</v>
      </c>
      <c r="AX78" s="700">
        <v>0</v>
      </c>
      <c r="AY78" s="700">
        <v>0</v>
      </c>
      <c r="AZ78" s="700">
        <v>0</v>
      </c>
      <c r="BA78" s="700">
        <v>0</v>
      </c>
      <c r="BB78" s="700">
        <v>0</v>
      </c>
      <c r="BC78" s="700">
        <v>0</v>
      </c>
      <c r="BD78" s="700">
        <v>0</v>
      </c>
      <c r="BE78" s="700">
        <v>0</v>
      </c>
      <c r="BF78" s="700">
        <v>0</v>
      </c>
      <c r="BG78" s="699">
        <f t="shared" si="33"/>
        <v>253348751.16142857</v>
      </c>
      <c r="BH78" s="699">
        <f t="shared" si="33"/>
        <v>253026320.71857142</v>
      </c>
      <c r="BI78" s="699">
        <f t="shared" si="33"/>
        <v>251876177.28999999</v>
      </c>
      <c r="BJ78" s="699">
        <f t="shared" si="33"/>
        <v>221334668.43285716</v>
      </c>
      <c r="BK78" s="690"/>
    </row>
    <row r="79" spans="1:64" ht="45.75" customHeight="1" x14ac:dyDescent="0.25">
      <c r="A79" s="698" t="s">
        <v>2239</v>
      </c>
      <c r="B79" s="934"/>
      <c r="C79" s="699">
        <f t="shared" si="37"/>
        <v>246205894.01857144</v>
      </c>
      <c r="D79" s="699">
        <f t="shared" si="38"/>
        <v>245896761.71857142</v>
      </c>
      <c r="E79" s="699">
        <f t="shared" si="39"/>
        <v>245039618.86142856</v>
      </c>
      <c r="F79" s="699">
        <f t="shared" si="40"/>
        <v>214498110.00428572</v>
      </c>
      <c r="G79" s="700">
        <v>0</v>
      </c>
      <c r="H79" s="700">
        <v>0</v>
      </c>
      <c r="I79" s="700">
        <v>0</v>
      </c>
      <c r="J79" s="700">
        <v>0</v>
      </c>
      <c r="K79" s="700">
        <v>0</v>
      </c>
      <c r="L79" s="700">
        <v>0</v>
      </c>
      <c r="M79" s="700">
        <v>0</v>
      </c>
      <c r="N79" s="700">
        <v>0</v>
      </c>
      <c r="O79" s="700">
        <v>0</v>
      </c>
      <c r="P79" s="700">
        <v>0</v>
      </c>
      <c r="Q79" s="700">
        <v>0</v>
      </c>
      <c r="R79" s="700">
        <v>0</v>
      </c>
      <c r="S79" s="700">
        <v>0</v>
      </c>
      <c r="T79" s="700">
        <v>0</v>
      </c>
      <c r="U79" s="700">
        <v>0</v>
      </c>
      <c r="V79" s="700">
        <v>0</v>
      </c>
      <c r="W79" s="700">
        <v>0</v>
      </c>
      <c r="X79" s="700">
        <v>0</v>
      </c>
      <c r="Y79" s="700">
        <v>0</v>
      </c>
      <c r="Z79" s="700">
        <v>0</v>
      </c>
      <c r="AA79" s="700">
        <v>0</v>
      </c>
      <c r="AB79" s="700">
        <v>0</v>
      </c>
      <c r="AC79" s="700">
        <v>0</v>
      </c>
      <c r="AD79" s="700">
        <v>0</v>
      </c>
      <c r="AE79" s="699">
        <f t="shared" si="41"/>
        <v>7142857.1428571427</v>
      </c>
      <c r="AF79" s="699">
        <f t="shared" si="42"/>
        <v>7129559</v>
      </c>
      <c r="AG79" s="699">
        <f t="shared" si="43"/>
        <v>6836558.4285714282</v>
      </c>
      <c r="AH79" s="699">
        <f t="shared" si="43"/>
        <v>6836558.4285714282</v>
      </c>
      <c r="AI79" s="700">
        <v>0</v>
      </c>
      <c r="AJ79" s="700">
        <v>0</v>
      </c>
      <c r="AK79" s="700">
        <v>0</v>
      </c>
      <c r="AL79" s="700">
        <v>0</v>
      </c>
      <c r="AM79" s="700">
        <v>0</v>
      </c>
      <c r="AN79" s="700">
        <v>0</v>
      </c>
      <c r="AO79" s="700">
        <v>0</v>
      </c>
      <c r="AP79" s="700">
        <v>0</v>
      </c>
      <c r="AQ79" s="700">
        <v>0</v>
      </c>
      <c r="AR79" s="700">
        <v>0</v>
      </c>
      <c r="AS79" s="700">
        <v>0</v>
      </c>
      <c r="AT79" s="700">
        <v>0</v>
      </c>
      <c r="AU79" s="700">
        <v>0</v>
      </c>
      <c r="AV79" s="700">
        <v>0</v>
      </c>
      <c r="AW79" s="700">
        <v>0</v>
      </c>
      <c r="AX79" s="700">
        <v>0</v>
      </c>
      <c r="AY79" s="700">
        <v>0</v>
      </c>
      <c r="AZ79" s="700">
        <v>0</v>
      </c>
      <c r="BA79" s="700">
        <v>0</v>
      </c>
      <c r="BB79" s="700">
        <v>0</v>
      </c>
      <c r="BC79" s="700">
        <v>0</v>
      </c>
      <c r="BD79" s="700">
        <v>0</v>
      </c>
      <c r="BE79" s="700">
        <v>0</v>
      </c>
      <c r="BF79" s="700">
        <v>0</v>
      </c>
      <c r="BG79" s="699">
        <f t="shared" si="33"/>
        <v>253348751.16142857</v>
      </c>
      <c r="BH79" s="699">
        <f t="shared" si="33"/>
        <v>253026320.71857142</v>
      </c>
      <c r="BI79" s="699">
        <f t="shared" si="33"/>
        <v>251876177.28999999</v>
      </c>
      <c r="BJ79" s="699">
        <f t="shared" si="33"/>
        <v>221334668.43285716</v>
      </c>
      <c r="BK79" s="690"/>
    </row>
    <row r="80" spans="1:64" ht="45.75" customHeight="1" x14ac:dyDescent="0.25">
      <c r="A80" s="698" t="s">
        <v>2240</v>
      </c>
      <c r="B80" s="934"/>
      <c r="C80" s="699">
        <f t="shared" si="37"/>
        <v>246205894.01857144</v>
      </c>
      <c r="D80" s="699">
        <f t="shared" si="38"/>
        <v>245896761.71857142</v>
      </c>
      <c r="E80" s="699">
        <f t="shared" si="39"/>
        <v>245039618.86142856</v>
      </c>
      <c r="F80" s="699">
        <f t="shared" si="40"/>
        <v>214498110.00428572</v>
      </c>
      <c r="G80" s="700">
        <v>0</v>
      </c>
      <c r="H80" s="700">
        <v>0</v>
      </c>
      <c r="I80" s="700">
        <v>0</v>
      </c>
      <c r="J80" s="700">
        <v>0</v>
      </c>
      <c r="K80" s="700">
        <v>0</v>
      </c>
      <c r="L80" s="700">
        <v>0</v>
      </c>
      <c r="M80" s="700">
        <v>0</v>
      </c>
      <c r="N80" s="700">
        <v>0</v>
      </c>
      <c r="O80" s="700">
        <v>0</v>
      </c>
      <c r="P80" s="700">
        <v>0</v>
      </c>
      <c r="Q80" s="700">
        <v>0</v>
      </c>
      <c r="R80" s="700">
        <v>0</v>
      </c>
      <c r="S80" s="700">
        <v>0</v>
      </c>
      <c r="T80" s="700">
        <v>0</v>
      </c>
      <c r="U80" s="700">
        <v>0</v>
      </c>
      <c r="V80" s="700">
        <v>0</v>
      </c>
      <c r="W80" s="700">
        <v>0</v>
      </c>
      <c r="X80" s="700">
        <v>0</v>
      </c>
      <c r="Y80" s="700">
        <v>0</v>
      </c>
      <c r="Z80" s="700">
        <v>0</v>
      </c>
      <c r="AA80" s="700">
        <v>0</v>
      </c>
      <c r="AB80" s="700">
        <v>0</v>
      </c>
      <c r="AC80" s="700">
        <v>0</v>
      </c>
      <c r="AD80" s="700">
        <v>0</v>
      </c>
      <c r="AE80" s="699">
        <f t="shared" si="41"/>
        <v>7142857.1428571427</v>
      </c>
      <c r="AF80" s="699">
        <f t="shared" si="42"/>
        <v>7129559</v>
      </c>
      <c r="AG80" s="699">
        <f t="shared" si="43"/>
        <v>6836558.4285714282</v>
      </c>
      <c r="AH80" s="699">
        <f t="shared" si="43"/>
        <v>6836558.4285714282</v>
      </c>
      <c r="AI80" s="700">
        <v>0</v>
      </c>
      <c r="AJ80" s="700">
        <v>0</v>
      </c>
      <c r="AK80" s="700">
        <v>0</v>
      </c>
      <c r="AL80" s="700">
        <v>0</v>
      </c>
      <c r="AM80" s="700">
        <v>0</v>
      </c>
      <c r="AN80" s="700">
        <v>0</v>
      </c>
      <c r="AO80" s="700">
        <v>0</v>
      </c>
      <c r="AP80" s="700">
        <v>0</v>
      </c>
      <c r="AQ80" s="700">
        <v>0</v>
      </c>
      <c r="AR80" s="700">
        <v>0</v>
      </c>
      <c r="AS80" s="700">
        <v>0</v>
      </c>
      <c r="AT80" s="700">
        <v>0</v>
      </c>
      <c r="AU80" s="700">
        <v>0</v>
      </c>
      <c r="AV80" s="700">
        <v>0</v>
      </c>
      <c r="AW80" s="700">
        <v>0</v>
      </c>
      <c r="AX80" s="700">
        <v>0</v>
      </c>
      <c r="AY80" s="700">
        <v>0</v>
      </c>
      <c r="AZ80" s="700">
        <v>0</v>
      </c>
      <c r="BA80" s="700">
        <v>0</v>
      </c>
      <c r="BB80" s="700">
        <v>0</v>
      </c>
      <c r="BC80" s="700">
        <v>0</v>
      </c>
      <c r="BD80" s="700">
        <v>0</v>
      </c>
      <c r="BE80" s="700">
        <v>0</v>
      </c>
      <c r="BF80" s="700">
        <v>0</v>
      </c>
      <c r="BG80" s="699">
        <f t="shared" si="33"/>
        <v>253348751.16142857</v>
      </c>
      <c r="BH80" s="699">
        <f t="shared" si="33"/>
        <v>253026320.71857142</v>
      </c>
      <c r="BI80" s="699">
        <f t="shared" si="33"/>
        <v>251876177.28999999</v>
      </c>
      <c r="BJ80" s="699">
        <f t="shared" si="33"/>
        <v>221334668.43285716</v>
      </c>
      <c r="BK80" s="690"/>
    </row>
    <row r="81" spans="1:64" ht="45.75" customHeight="1" x14ac:dyDescent="0.25">
      <c r="A81" s="698" t="s">
        <v>2241</v>
      </c>
      <c r="B81" s="934"/>
      <c r="C81" s="699">
        <f t="shared" si="37"/>
        <v>246205894.01857144</v>
      </c>
      <c r="D81" s="699">
        <f t="shared" si="38"/>
        <v>245896761.71857142</v>
      </c>
      <c r="E81" s="699">
        <f t="shared" si="39"/>
        <v>245039618.86142856</v>
      </c>
      <c r="F81" s="699">
        <f t="shared" si="40"/>
        <v>214498110.00428572</v>
      </c>
      <c r="G81" s="700">
        <v>0</v>
      </c>
      <c r="H81" s="700">
        <v>0</v>
      </c>
      <c r="I81" s="700">
        <v>0</v>
      </c>
      <c r="J81" s="700">
        <v>0</v>
      </c>
      <c r="K81" s="700">
        <v>0</v>
      </c>
      <c r="L81" s="700">
        <v>0</v>
      </c>
      <c r="M81" s="700">
        <v>0</v>
      </c>
      <c r="N81" s="700">
        <v>0</v>
      </c>
      <c r="O81" s="700">
        <v>0</v>
      </c>
      <c r="P81" s="700">
        <v>0</v>
      </c>
      <c r="Q81" s="700">
        <v>0</v>
      </c>
      <c r="R81" s="700">
        <v>0</v>
      </c>
      <c r="S81" s="700">
        <v>0</v>
      </c>
      <c r="T81" s="700">
        <v>0</v>
      </c>
      <c r="U81" s="700">
        <v>0</v>
      </c>
      <c r="V81" s="700">
        <v>0</v>
      </c>
      <c r="W81" s="700">
        <v>0</v>
      </c>
      <c r="X81" s="700">
        <v>0</v>
      </c>
      <c r="Y81" s="700">
        <v>0</v>
      </c>
      <c r="Z81" s="700">
        <v>0</v>
      </c>
      <c r="AA81" s="700">
        <v>0</v>
      </c>
      <c r="AB81" s="700">
        <v>0</v>
      </c>
      <c r="AC81" s="700">
        <v>0</v>
      </c>
      <c r="AD81" s="700">
        <v>0</v>
      </c>
      <c r="AE81" s="699">
        <f t="shared" si="41"/>
        <v>7142857.1428571427</v>
      </c>
      <c r="AF81" s="699">
        <f t="shared" si="42"/>
        <v>7129559</v>
      </c>
      <c r="AG81" s="699">
        <f t="shared" si="43"/>
        <v>6836558.4285714282</v>
      </c>
      <c r="AH81" s="699">
        <f t="shared" si="43"/>
        <v>6836558.4285714282</v>
      </c>
      <c r="AI81" s="700">
        <v>0</v>
      </c>
      <c r="AJ81" s="700">
        <v>0</v>
      </c>
      <c r="AK81" s="700">
        <v>0</v>
      </c>
      <c r="AL81" s="700">
        <v>0</v>
      </c>
      <c r="AM81" s="700">
        <v>0</v>
      </c>
      <c r="AN81" s="700">
        <v>0</v>
      </c>
      <c r="AO81" s="700">
        <v>0</v>
      </c>
      <c r="AP81" s="700">
        <v>0</v>
      </c>
      <c r="AQ81" s="700">
        <v>0</v>
      </c>
      <c r="AR81" s="700">
        <v>0</v>
      </c>
      <c r="AS81" s="700">
        <v>0</v>
      </c>
      <c r="AT81" s="700">
        <v>0</v>
      </c>
      <c r="AU81" s="700">
        <v>0</v>
      </c>
      <c r="AV81" s="700">
        <v>0</v>
      </c>
      <c r="AW81" s="700">
        <v>0</v>
      </c>
      <c r="AX81" s="700">
        <v>0</v>
      </c>
      <c r="AY81" s="700">
        <v>0</v>
      </c>
      <c r="AZ81" s="700">
        <v>0</v>
      </c>
      <c r="BA81" s="700">
        <v>0</v>
      </c>
      <c r="BB81" s="700">
        <v>0</v>
      </c>
      <c r="BC81" s="700">
        <v>0</v>
      </c>
      <c r="BD81" s="700">
        <v>0</v>
      </c>
      <c r="BE81" s="700">
        <v>0</v>
      </c>
      <c r="BF81" s="700">
        <v>0</v>
      </c>
      <c r="BG81" s="699">
        <f t="shared" si="33"/>
        <v>253348751.16142857</v>
      </c>
      <c r="BH81" s="699">
        <f t="shared" si="33"/>
        <v>253026320.71857142</v>
      </c>
      <c r="BI81" s="699">
        <f t="shared" si="33"/>
        <v>251876177.28999999</v>
      </c>
      <c r="BJ81" s="699">
        <f t="shared" si="33"/>
        <v>221334668.43285716</v>
      </c>
      <c r="BK81" s="690"/>
    </row>
    <row r="82" spans="1:64" ht="45.75" customHeight="1" x14ac:dyDescent="0.25">
      <c r="A82" s="698" t="s">
        <v>2242</v>
      </c>
      <c r="B82" s="935"/>
      <c r="C82" s="699">
        <f t="shared" si="37"/>
        <v>246205894.01857144</v>
      </c>
      <c r="D82" s="699">
        <f t="shared" si="38"/>
        <v>245896761.71857142</v>
      </c>
      <c r="E82" s="699">
        <f t="shared" si="39"/>
        <v>245039618.86142856</v>
      </c>
      <c r="F82" s="699">
        <f t="shared" si="40"/>
        <v>214498110.00428572</v>
      </c>
      <c r="G82" s="700">
        <v>0</v>
      </c>
      <c r="H82" s="700">
        <v>0</v>
      </c>
      <c r="I82" s="700">
        <v>0</v>
      </c>
      <c r="J82" s="700">
        <v>0</v>
      </c>
      <c r="K82" s="700">
        <v>0</v>
      </c>
      <c r="L82" s="700">
        <v>0</v>
      </c>
      <c r="M82" s="700">
        <v>0</v>
      </c>
      <c r="N82" s="700">
        <v>0</v>
      </c>
      <c r="O82" s="700">
        <v>0</v>
      </c>
      <c r="P82" s="700">
        <v>0</v>
      </c>
      <c r="Q82" s="700">
        <v>0</v>
      </c>
      <c r="R82" s="700">
        <v>0</v>
      </c>
      <c r="S82" s="700">
        <v>0</v>
      </c>
      <c r="T82" s="700">
        <v>0</v>
      </c>
      <c r="U82" s="700">
        <v>0</v>
      </c>
      <c r="V82" s="700">
        <v>0</v>
      </c>
      <c r="W82" s="700">
        <v>0</v>
      </c>
      <c r="X82" s="700">
        <v>0</v>
      </c>
      <c r="Y82" s="700">
        <v>0</v>
      </c>
      <c r="Z82" s="700">
        <v>0</v>
      </c>
      <c r="AA82" s="700">
        <v>0</v>
      </c>
      <c r="AB82" s="700">
        <v>0</v>
      </c>
      <c r="AC82" s="700">
        <v>0</v>
      </c>
      <c r="AD82" s="700">
        <v>0</v>
      </c>
      <c r="AE82" s="699">
        <f t="shared" si="41"/>
        <v>7142857.1428571427</v>
      </c>
      <c r="AF82" s="699">
        <f t="shared" si="42"/>
        <v>7129559</v>
      </c>
      <c r="AG82" s="699">
        <f t="shared" si="43"/>
        <v>6836558.4285714282</v>
      </c>
      <c r="AH82" s="699">
        <f t="shared" si="43"/>
        <v>6836558.4285714282</v>
      </c>
      <c r="AI82" s="700">
        <v>0</v>
      </c>
      <c r="AJ82" s="700">
        <v>0</v>
      </c>
      <c r="AK82" s="700">
        <v>0</v>
      </c>
      <c r="AL82" s="700">
        <v>0</v>
      </c>
      <c r="AM82" s="700">
        <v>0</v>
      </c>
      <c r="AN82" s="700">
        <v>0</v>
      </c>
      <c r="AO82" s="700">
        <v>0</v>
      </c>
      <c r="AP82" s="700">
        <v>0</v>
      </c>
      <c r="AQ82" s="700">
        <v>0</v>
      </c>
      <c r="AR82" s="700">
        <v>0</v>
      </c>
      <c r="AS82" s="700">
        <v>0</v>
      </c>
      <c r="AT82" s="700">
        <v>0</v>
      </c>
      <c r="AU82" s="700">
        <v>0</v>
      </c>
      <c r="AV82" s="700">
        <v>0</v>
      </c>
      <c r="AW82" s="700">
        <v>0</v>
      </c>
      <c r="AX82" s="700">
        <v>0</v>
      </c>
      <c r="AY82" s="700">
        <v>0</v>
      </c>
      <c r="AZ82" s="700">
        <v>0</v>
      </c>
      <c r="BA82" s="700">
        <v>0</v>
      </c>
      <c r="BB82" s="700">
        <v>0</v>
      </c>
      <c r="BC82" s="700">
        <v>0</v>
      </c>
      <c r="BD82" s="700">
        <v>0</v>
      </c>
      <c r="BE82" s="700">
        <v>0</v>
      </c>
      <c r="BF82" s="700">
        <v>0</v>
      </c>
      <c r="BG82" s="699">
        <f t="shared" si="33"/>
        <v>253348751.16142857</v>
      </c>
      <c r="BH82" s="699">
        <f t="shared" si="33"/>
        <v>253026320.71857142</v>
      </c>
      <c r="BI82" s="699">
        <f t="shared" si="33"/>
        <v>251876177.28999999</v>
      </c>
      <c r="BJ82" s="699">
        <f t="shared" si="33"/>
        <v>221334668.43285716</v>
      </c>
      <c r="BK82" s="701">
        <f>+SUM(BG76:BG82)-B76</f>
        <v>0</v>
      </c>
    </row>
    <row r="83" spans="1:64" ht="45.75" customHeight="1" x14ac:dyDescent="0.25">
      <c r="A83" s="607" t="s">
        <v>2243</v>
      </c>
      <c r="B83" s="693">
        <f>SUM(B84:B93)</f>
        <v>3366068995.3000002</v>
      </c>
      <c r="C83" s="693">
        <f t="shared" ref="C83:BF83" si="44">SUM(C84:C93)</f>
        <v>2405367829.4000001</v>
      </c>
      <c r="D83" s="693">
        <f t="shared" si="44"/>
        <v>2238460721.7399998</v>
      </c>
      <c r="E83" s="693">
        <f t="shared" si="44"/>
        <v>2081508174.1500001</v>
      </c>
      <c r="F83" s="693">
        <f t="shared" si="44"/>
        <v>961584500.33000004</v>
      </c>
      <c r="G83" s="693">
        <f t="shared" si="44"/>
        <v>0</v>
      </c>
      <c r="H83" s="693">
        <f t="shared" si="44"/>
        <v>0</v>
      </c>
      <c r="I83" s="693">
        <f t="shared" si="44"/>
        <v>0</v>
      </c>
      <c r="J83" s="693">
        <f t="shared" si="44"/>
        <v>0</v>
      </c>
      <c r="K83" s="693">
        <f t="shared" si="44"/>
        <v>0</v>
      </c>
      <c r="L83" s="693">
        <f t="shared" si="44"/>
        <v>0</v>
      </c>
      <c r="M83" s="693">
        <f t="shared" si="44"/>
        <v>0</v>
      </c>
      <c r="N83" s="693">
        <f t="shared" si="44"/>
        <v>0</v>
      </c>
      <c r="O83" s="693">
        <f t="shared" si="44"/>
        <v>960701165.9000001</v>
      </c>
      <c r="P83" s="693">
        <f t="shared" si="44"/>
        <v>960701165.9000001</v>
      </c>
      <c r="Q83" s="693">
        <f t="shared" si="44"/>
        <v>110701165.90000001</v>
      </c>
      <c r="R83" s="693">
        <f t="shared" si="44"/>
        <v>110701165.90000001</v>
      </c>
      <c r="S83" s="693">
        <f t="shared" si="44"/>
        <v>0</v>
      </c>
      <c r="T83" s="693">
        <f t="shared" si="44"/>
        <v>0</v>
      </c>
      <c r="U83" s="693">
        <f t="shared" si="44"/>
        <v>0</v>
      </c>
      <c r="V83" s="693">
        <f t="shared" si="44"/>
        <v>0</v>
      </c>
      <c r="W83" s="693">
        <f t="shared" si="44"/>
        <v>0</v>
      </c>
      <c r="X83" s="693">
        <f t="shared" si="44"/>
        <v>0</v>
      </c>
      <c r="Y83" s="693">
        <f t="shared" si="44"/>
        <v>0</v>
      </c>
      <c r="Z83" s="693">
        <f t="shared" si="44"/>
        <v>0</v>
      </c>
      <c r="AA83" s="693">
        <f t="shared" si="44"/>
        <v>0</v>
      </c>
      <c r="AB83" s="693">
        <f t="shared" si="44"/>
        <v>0</v>
      </c>
      <c r="AC83" s="693">
        <f t="shared" si="44"/>
        <v>0</v>
      </c>
      <c r="AD83" s="693">
        <f t="shared" si="44"/>
        <v>0</v>
      </c>
      <c r="AE83" s="693">
        <f t="shared" si="44"/>
        <v>0</v>
      </c>
      <c r="AF83" s="693">
        <f t="shared" si="44"/>
        <v>0</v>
      </c>
      <c r="AG83" s="693">
        <f t="shared" si="44"/>
        <v>0</v>
      </c>
      <c r="AH83" s="693">
        <f t="shared" si="44"/>
        <v>0</v>
      </c>
      <c r="AI83" s="693">
        <f t="shared" si="44"/>
        <v>0</v>
      </c>
      <c r="AJ83" s="693">
        <f t="shared" si="44"/>
        <v>0</v>
      </c>
      <c r="AK83" s="693">
        <f t="shared" si="44"/>
        <v>0</v>
      </c>
      <c r="AL83" s="693">
        <f t="shared" si="44"/>
        <v>0</v>
      </c>
      <c r="AM83" s="693">
        <f t="shared" si="44"/>
        <v>0</v>
      </c>
      <c r="AN83" s="693">
        <f t="shared" si="44"/>
        <v>0</v>
      </c>
      <c r="AO83" s="693">
        <f t="shared" si="44"/>
        <v>0</v>
      </c>
      <c r="AP83" s="693">
        <f t="shared" si="44"/>
        <v>0</v>
      </c>
      <c r="AQ83" s="693">
        <f t="shared" si="44"/>
        <v>0</v>
      </c>
      <c r="AR83" s="693">
        <f t="shared" si="44"/>
        <v>0</v>
      </c>
      <c r="AS83" s="693">
        <f t="shared" si="44"/>
        <v>0</v>
      </c>
      <c r="AT83" s="693">
        <f t="shared" si="44"/>
        <v>0</v>
      </c>
      <c r="AU83" s="693">
        <f t="shared" si="44"/>
        <v>0</v>
      </c>
      <c r="AV83" s="693">
        <f t="shared" si="44"/>
        <v>0</v>
      </c>
      <c r="AW83" s="693">
        <f t="shared" si="44"/>
        <v>0</v>
      </c>
      <c r="AX83" s="693">
        <f t="shared" si="44"/>
        <v>0</v>
      </c>
      <c r="AY83" s="693">
        <f t="shared" si="44"/>
        <v>0</v>
      </c>
      <c r="AZ83" s="693">
        <f t="shared" si="44"/>
        <v>0</v>
      </c>
      <c r="BA83" s="693">
        <f t="shared" si="44"/>
        <v>0</v>
      </c>
      <c r="BB83" s="693">
        <f t="shared" si="44"/>
        <v>0</v>
      </c>
      <c r="BC83" s="693">
        <f t="shared" si="44"/>
        <v>0</v>
      </c>
      <c r="BD83" s="693">
        <f t="shared" si="44"/>
        <v>0</v>
      </c>
      <c r="BE83" s="693">
        <f t="shared" si="44"/>
        <v>0</v>
      </c>
      <c r="BF83" s="693">
        <f t="shared" si="44"/>
        <v>0</v>
      </c>
      <c r="BG83" s="693">
        <f t="shared" si="33"/>
        <v>3366068995.3000002</v>
      </c>
      <c r="BH83" s="693">
        <f t="shared" si="33"/>
        <v>3199161887.6399999</v>
      </c>
      <c r="BI83" s="693">
        <f t="shared" si="33"/>
        <v>2192209340.0500002</v>
      </c>
      <c r="BJ83" s="693">
        <f t="shared" si="33"/>
        <v>1072285666.23</v>
      </c>
      <c r="BK83" s="694">
        <f>+SUM(BG84:BG93)-BG83</f>
        <v>0</v>
      </c>
      <c r="BL83" s="695">
        <f>+BG83-B83</f>
        <v>0</v>
      </c>
    </row>
    <row r="84" spans="1:64" ht="45.75" customHeight="1" x14ac:dyDescent="0.25">
      <c r="A84" s="696" t="s">
        <v>2244</v>
      </c>
      <c r="B84" s="933">
        <v>3366068995.3000002</v>
      </c>
      <c r="C84" s="697">
        <v>0</v>
      </c>
      <c r="D84" s="697">
        <v>0</v>
      </c>
      <c r="E84" s="697">
        <v>0</v>
      </c>
      <c r="F84" s="697">
        <v>0</v>
      </c>
      <c r="G84" s="697">
        <v>0</v>
      </c>
      <c r="H84" s="697">
        <v>0</v>
      </c>
      <c r="I84" s="697">
        <v>0</v>
      </c>
      <c r="J84" s="697">
        <v>0</v>
      </c>
      <c r="K84" s="697">
        <v>0</v>
      </c>
      <c r="L84" s="697">
        <v>0</v>
      </c>
      <c r="M84" s="697">
        <v>0</v>
      </c>
      <c r="N84" s="697">
        <v>0</v>
      </c>
      <c r="O84" s="697">
        <v>0</v>
      </c>
      <c r="P84" s="697">
        <v>0</v>
      </c>
      <c r="Q84" s="697">
        <v>0</v>
      </c>
      <c r="R84" s="697">
        <v>0</v>
      </c>
      <c r="S84" s="697">
        <v>0</v>
      </c>
      <c r="T84" s="697">
        <v>0</v>
      </c>
      <c r="U84" s="697">
        <v>0</v>
      </c>
      <c r="V84" s="697">
        <v>0</v>
      </c>
      <c r="W84" s="697">
        <v>0</v>
      </c>
      <c r="X84" s="697">
        <v>0</v>
      </c>
      <c r="Y84" s="697">
        <v>0</v>
      </c>
      <c r="Z84" s="697">
        <v>0</v>
      </c>
      <c r="AA84" s="697">
        <v>0</v>
      </c>
      <c r="AB84" s="697">
        <v>0</v>
      </c>
      <c r="AC84" s="697">
        <v>0</v>
      </c>
      <c r="AD84" s="697">
        <v>0</v>
      </c>
      <c r="AE84" s="697">
        <v>0</v>
      </c>
      <c r="AF84" s="697">
        <v>0</v>
      </c>
      <c r="AG84" s="697">
        <v>0</v>
      </c>
      <c r="AH84" s="697">
        <v>0</v>
      </c>
      <c r="AI84" s="697">
        <v>0</v>
      </c>
      <c r="AJ84" s="697">
        <v>0</v>
      </c>
      <c r="AK84" s="697">
        <v>0</v>
      </c>
      <c r="AL84" s="697">
        <v>0</v>
      </c>
      <c r="AM84" s="697">
        <v>0</v>
      </c>
      <c r="AN84" s="697">
        <v>0</v>
      </c>
      <c r="AO84" s="697">
        <v>0</v>
      </c>
      <c r="AP84" s="697">
        <v>0</v>
      </c>
      <c r="AQ84" s="697">
        <v>0</v>
      </c>
      <c r="AR84" s="697">
        <v>0</v>
      </c>
      <c r="AS84" s="697">
        <v>0</v>
      </c>
      <c r="AT84" s="697">
        <v>0</v>
      </c>
      <c r="AU84" s="697">
        <v>0</v>
      </c>
      <c r="AV84" s="697">
        <v>0</v>
      </c>
      <c r="AW84" s="697">
        <v>0</v>
      </c>
      <c r="AX84" s="697">
        <v>0</v>
      </c>
      <c r="AY84" s="697">
        <v>0</v>
      </c>
      <c r="AZ84" s="697">
        <v>0</v>
      </c>
      <c r="BA84" s="697">
        <v>0</v>
      </c>
      <c r="BB84" s="697">
        <v>0</v>
      </c>
      <c r="BC84" s="697">
        <v>0</v>
      </c>
      <c r="BD84" s="697">
        <v>0</v>
      </c>
      <c r="BE84" s="697">
        <v>0</v>
      </c>
      <c r="BF84" s="697">
        <v>0</v>
      </c>
      <c r="BG84" s="697">
        <f t="shared" si="33"/>
        <v>0</v>
      </c>
      <c r="BH84" s="697">
        <f t="shared" si="33"/>
        <v>0</v>
      </c>
      <c r="BI84" s="697">
        <f t="shared" si="33"/>
        <v>0</v>
      </c>
      <c r="BJ84" s="697">
        <f t="shared" si="33"/>
        <v>0</v>
      </c>
      <c r="BK84" s="690"/>
    </row>
    <row r="85" spans="1:64" ht="45.75" customHeight="1" x14ac:dyDescent="0.25">
      <c r="A85" s="696" t="s">
        <v>2245</v>
      </c>
      <c r="B85" s="934"/>
      <c r="C85" s="697">
        <v>0</v>
      </c>
      <c r="D85" s="697">
        <v>0</v>
      </c>
      <c r="E85" s="697">
        <v>0</v>
      </c>
      <c r="F85" s="697">
        <v>0</v>
      </c>
      <c r="G85" s="697">
        <v>0</v>
      </c>
      <c r="H85" s="697">
        <v>0</v>
      </c>
      <c r="I85" s="697">
        <v>0</v>
      </c>
      <c r="J85" s="697">
        <v>0</v>
      </c>
      <c r="K85" s="697">
        <v>0</v>
      </c>
      <c r="L85" s="697">
        <v>0</v>
      </c>
      <c r="M85" s="697">
        <v>0</v>
      </c>
      <c r="N85" s="697">
        <v>0</v>
      </c>
      <c r="O85" s="697">
        <v>0</v>
      </c>
      <c r="P85" s="697">
        <v>0</v>
      </c>
      <c r="Q85" s="697">
        <v>0</v>
      </c>
      <c r="R85" s="697">
        <v>0</v>
      </c>
      <c r="S85" s="697">
        <v>0</v>
      </c>
      <c r="T85" s="697">
        <v>0</v>
      </c>
      <c r="U85" s="697">
        <v>0</v>
      </c>
      <c r="V85" s="697">
        <v>0</v>
      </c>
      <c r="W85" s="697">
        <v>0</v>
      </c>
      <c r="X85" s="697">
        <v>0</v>
      </c>
      <c r="Y85" s="697">
        <v>0</v>
      </c>
      <c r="Z85" s="697">
        <v>0</v>
      </c>
      <c r="AA85" s="697">
        <v>0</v>
      </c>
      <c r="AB85" s="697">
        <v>0</v>
      </c>
      <c r="AC85" s="697">
        <v>0</v>
      </c>
      <c r="AD85" s="697">
        <v>0</v>
      </c>
      <c r="AE85" s="697">
        <v>0</v>
      </c>
      <c r="AF85" s="697">
        <v>0</v>
      </c>
      <c r="AG85" s="697">
        <v>0</v>
      </c>
      <c r="AH85" s="697">
        <v>0</v>
      </c>
      <c r="AI85" s="697">
        <v>0</v>
      </c>
      <c r="AJ85" s="697">
        <v>0</v>
      </c>
      <c r="AK85" s="697">
        <v>0</v>
      </c>
      <c r="AL85" s="697">
        <v>0</v>
      </c>
      <c r="AM85" s="697">
        <v>0</v>
      </c>
      <c r="AN85" s="697">
        <v>0</v>
      </c>
      <c r="AO85" s="697">
        <v>0</v>
      </c>
      <c r="AP85" s="697">
        <v>0</v>
      </c>
      <c r="AQ85" s="697">
        <v>0</v>
      </c>
      <c r="AR85" s="697">
        <v>0</v>
      </c>
      <c r="AS85" s="697">
        <v>0</v>
      </c>
      <c r="AT85" s="697">
        <v>0</v>
      </c>
      <c r="AU85" s="697">
        <v>0</v>
      </c>
      <c r="AV85" s="697">
        <v>0</v>
      </c>
      <c r="AW85" s="697">
        <v>0</v>
      </c>
      <c r="AX85" s="697">
        <v>0</v>
      </c>
      <c r="AY85" s="697">
        <v>0</v>
      </c>
      <c r="AZ85" s="697">
        <v>0</v>
      </c>
      <c r="BA85" s="697">
        <v>0</v>
      </c>
      <c r="BB85" s="697">
        <v>0</v>
      </c>
      <c r="BC85" s="697">
        <v>0</v>
      </c>
      <c r="BD85" s="697">
        <v>0</v>
      </c>
      <c r="BE85" s="697">
        <v>0</v>
      </c>
      <c r="BF85" s="697">
        <v>0</v>
      </c>
      <c r="BG85" s="697">
        <f t="shared" si="33"/>
        <v>0</v>
      </c>
      <c r="BH85" s="697">
        <f t="shared" si="33"/>
        <v>0</v>
      </c>
      <c r="BI85" s="697">
        <f t="shared" si="33"/>
        <v>0</v>
      </c>
      <c r="BJ85" s="697">
        <f t="shared" si="33"/>
        <v>0</v>
      </c>
      <c r="BK85" s="690"/>
    </row>
    <row r="86" spans="1:64" ht="45.75" customHeight="1" x14ac:dyDescent="0.25">
      <c r="A86" s="696" t="s">
        <v>2246</v>
      </c>
      <c r="B86" s="934"/>
      <c r="C86" s="697">
        <v>0</v>
      </c>
      <c r="D86" s="697">
        <v>0</v>
      </c>
      <c r="E86" s="697">
        <v>0</v>
      </c>
      <c r="F86" s="697">
        <v>0</v>
      </c>
      <c r="G86" s="697">
        <v>0</v>
      </c>
      <c r="H86" s="697">
        <v>0</v>
      </c>
      <c r="I86" s="697">
        <v>0</v>
      </c>
      <c r="J86" s="697">
        <v>0</v>
      </c>
      <c r="K86" s="697">
        <v>0</v>
      </c>
      <c r="L86" s="697">
        <v>0</v>
      </c>
      <c r="M86" s="697">
        <v>0</v>
      </c>
      <c r="N86" s="697">
        <v>0</v>
      </c>
      <c r="O86" s="697">
        <v>0</v>
      </c>
      <c r="P86" s="697">
        <v>0</v>
      </c>
      <c r="Q86" s="697">
        <v>0</v>
      </c>
      <c r="R86" s="697">
        <v>0</v>
      </c>
      <c r="S86" s="697">
        <v>0</v>
      </c>
      <c r="T86" s="697">
        <v>0</v>
      </c>
      <c r="U86" s="697">
        <v>0</v>
      </c>
      <c r="V86" s="697">
        <v>0</v>
      </c>
      <c r="W86" s="697">
        <v>0</v>
      </c>
      <c r="X86" s="697">
        <v>0</v>
      </c>
      <c r="Y86" s="697">
        <v>0</v>
      </c>
      <c r="Z86" s="697">
        <v>0</v>
      </c>
      <c r="AA86" s="697">
        <v>0</v>
      </c>
      <c r="AB86" s="697">
        <v>0</v>
      </c>
      <c r="AC86" s="697">
        <v>0</v>
      </c>
      <c r="AD86" s="697">
        <v>0</v>
      </c>
      <c r="AE86" s="697">
        <v>0</v>
      </c>
      <c r="AF86" s="697">
        <v>0</v>
      </c>
      <c r="AG86" s="697">
        <v>0</v>
      </c>
      <c r="AH86" s="697">
        <v>0</v>
      </c>
      <c r="AI86" s="697">
        <v>0</v>
      </c>
      <c r="AJ86" s="697">
        <v>0</v>
      </c>
      <c r="AK86" s="697">
        <v>0</v>
      </c>
      <c r="AL86" s="697">
        <v>0</v>
      </c>
      <c r="AM86" s="697">
        <v>0</v>
      </c>
      <c r="AN86" s="697">
        <v>0</v>
      </c>
      <c r="AO86" s="697">
        <v>0</v>
      </c>
      <c r="AP86" s="697">
        <v>0</v>
      </c>
      <c r="AQ86" s="697">
        <v>0</v>
      </c>
      <c r="AR86" s="697">
        <v>0</v>
      </c>
      <c r="AS86" s="697">
        <v>0</v>
      </c>
      <c r="AT86" s="697">
        <v>0</v>
      </c>
      <c r="AU86" s="697">
        <v>0</v>
      </c>
      <c r="AV86" s="697">
        <v>0</v>
      </c>
      <c r="AW86" s="697">
        <v>0</v>
      </c>
      <c r="AX86" s="697">
        <v>0</v>
      </c>
      <c r="AY86" s="697">
        <v>0</v>
      </c>
      <c r="AZ86" s="697">
        <v>0</v>
      </c>
      <c r="BA86" s="697">
        <v>0</v>
      </c>
      <c r="BB86" s="697">
        <v>0</v>
      </c>
      <c r="BC86" s="697">
        <v>0</v>
      </c>
      <c r="BD86" s="697">
        <v>0</v>
      </c>
      <c r="BE86" s="697">
        <v>0</v>
      </c>
      <c r="BF86" s="697">
        <v>0</v>
      </c>
      <c r="BG86" s="697">
        <f t="shared" si="33"/>
        <v>0</v>
      </c>
      <c r="BH86" s="697">
        <f t="shared" si="33"/>
        <v>0</v>
      </c>
      <c r="BI86" s="697">
        <f t="shared" si="33"/>
        <v>0</v>
      </c>
      <c r="BJ86" s="697">
        <f t="shared" si="33"/>
        <v>0</v>
      </c>
      <c r="BK86" s="690"/>
    </row>
    <row r="87" spans="1:64" ht="45.75" customHeight="1" x14ac:dyDescent="0.25">
      <c r="A87" s="696" t="s">
        <v>2247</v>
      </c>
      <c r="B87" s="934"/>
      <c r="C87" s="697">
        <v>0</v>
      </c>
      <c r="D87" s="697">
        <v>0</v>
      </c>
      <c r="E87" s="697">
        <v>0</v>
      </c>
      <c r="F87" s="697">
        <v>0</v>
      </c>
      <c r="G87" s="697">
        <v>0</v>
      </c>
      <c r="H87" s="697">
        <v>0</v>
      </c>
      <c r="I87" s="697">
        <v>0</v>
      </c>
      <c r="J87" s="697">
        <v>0</v>
      </c>
      <c r="K87" s="697">
        <v>0</v>
      </c>
      <c r="L87" s="697">
        <v>0</v>
      </c>
      <c r="M87" s="697">
        <v>0</v>
      </c>
      <c r="N87" s="697">
        <v>0</v>
      </c>
      <c r="O87" s="697">
        <v>0</v>
      </c>
      <c r="P87" s="697">
        <v>0</v>
      </c>
      <c r="Q87" s="697">
        <v>0</v>
      </c>
      <c r="R87" s="697">
        <v>0</v>
      </c>
      <c r="S87" s="697">
        <v>0</v>
      </c>
      <c r="T87" s="697">
        <v>0</v>
      </c>
      <c r="U87" s="697">
        <v>0</v>
      </c>
      <c r="V87" s="697">
        <v>0</v>
      </c>
      <c r="W87" s="697">
        <v>0</v>
      </c>
      <c r="X87" s="697">
        <v>0</v>
      </c>
      <c r="Y87" s="697">
        <v>0</v>
      </c>
      <c r="Z87" s="697">
        <v>0</v>
      </c>
      <c r="AA87" s="697">
        <v>0</v>
      </c>
      <c r="AB87" s="697">
        <v>0</v>
      </c>
      <c r="AC87" s="697">
        <v>0</v>
      </c>
      <c r="AD87" s="697">
        <v>0</v>
      </c>
      <c r="AE87" s="697">
        <v>0</v>
      </c>
      <c r="AF87" s="697">
        <v>0</v>
      </c>
      <c r="AG87" s="697">
        <v>0</v>
      </c>
      <c r="AH87" s="697">
        <v>0</v>
      </c>
      <c r="AI87" s="697">
        <v>0</v>
      </c>
      <c r="AJ87" s="697">
        <v>0</v>
      </c>
      <c r="AK87" s="697">
        <v>0</v>
      </c>
      <c r="AL87" s="697">
        <v>0</v>
      </c>
      <c r="AM87" s="697">
        <v>0</v>
      </c>
      <c r="AN87" s="697">
        <v>0</v>
      </c>
      <c r="AO87" s="697">
        <v>0</v>
      </c>
      <c r="AP87" s="697">
        <v>0</v>
      </c>
      <c r="AQ87" s="697">
        <v>0</v>
      </c>
      <c r="AR87" s="697">
        <v>0</v>
      </c>
      <c r="AS87" s="697">
        <v>0</v>
      </c>
      <c r="AT87" s="697">
        <v>0</v>
      </c>
      <c r="AU87" s="697">
        <v>0</v>
      </c>
      <c r="AV87" s="697">
        <v>0</v>
      </c>
      <c r="AW87" s="697">
        <v>0</v>
      </c>
      <c r="AX87" s="697">
        <v>0</v>
      </c>
      <c r="AY87" s="697">
        <v>0</v>
      </c>
      <c r="AZ87" s="697">
        <v>0</v>
      </c>
      <c r="BA87" s="697">
        <v>0</v>
      </c>
      <c r="BB87" s="697">
        <v>0</v>
      </c>
      <c r="BC87" s="697">
        <v>0</v>
      </c>
      <c r="BD87" s="697">
        <v>0</v>
      </c>
      <c r="BE87" s="697">
        <v>0</v>
      </c>
      <c r="BF87" s="697">
        <v>0</v>
      </c>
      <c r="BG87" s="697">
        <f t="shared" si="33"/>
        <v>0</v>
      </c>
      <c r="BH87" s="697">
        <f t="shared" si="33"/>
        <v>0</v>
      </c>
      <c r="BI87" s="697">
        <f t="shared" si="33"/>
        <v>0</v>
      </c>
      <c r="BJ87" s="697">
        <f t="shared" si="33"/>
        <v>0</v>
      </c>
      <c r="BK87" s="690"/>
    </row>
    <row r="88" spans="1:64" ht="45.75" customHeight="1" x14ac:dyDescent="0.25">
      <c r="A88" s="698" t="s">
        <v>2248</v>
      </c>
      <c r="B88" s="934"/>
      <c r="C88" s="699">
        <f>2405367829.4/5</f>
        <v>481073565.88</v>
      </c>
      <c r="D88" s="699">
        <f>2238460721.74/5</f>
        <v>447692144.34799993</v>
      </c>
      <c r="E88" s="699">
        <f>2081508174.15/5</f>
        <v>416301634.83000004</v>
      </c>
      <c r="F88" s="699">
        <f>961584500.33/5</f>
        <v>192316900.06600001</v>
      </c>
      <c r="G88" s="700">
        <v>0</v>
      </c>
      <c r="H88" s="700">
        <v>0</v>
      </c>
      <c r="I88" s="700">
        <v>0</v>
      </c>
      <c r="J88" s="700">
        <v>0</v>
      </c>
      <c r="K88" s="700">
        <v>0</v>
      </c>
      <c r="L88" s="700">
        <v>0</v>
      </c>
      <c r="M88" s="700">
        <v>0</v>
      </c>
      <c r="N88" s="700">
        <v>0</v>
      </c>
      <c r="O88" s="699">
        <f>960701165.9/5</f>
        <v>192140233.18000001</v>
      </c>
      <c r="P88" s="699">
        <f>960701165.9/5</f>
        <v>192140233.18000001</v>
      </c>
      <c r="Q88" s="699">
        <f>110701165.9/5</f>
        <v>22140233.18</v>
      </c>
      <c r="R88" s="699">
        <f>110701165.9/5</f>
        <v>22140233.18</v>
      </c>
      <c r="S88" s="700">
        <v>0</v>
      </c>
      <c r="T88" s="700">
        <v>0</v>
      </c>
      <c r="U88" s="700">
        <v>0</v>
      </c>
      <c r="V88" s="700">
        <v>0</v>
      </c>
      <c r="W88" s="700">
        <v>0</v>
      </c>
      <c r="X88" s="700">
        <v>0</v>
      </c>
      <c r="Y88" s="700">
        <v>0</v>
      </c>
      <c r="Z88" s="700">
        <v>0</v>
      </c>
      <c r="AA88" s="700">
        <v>0</v>
      </c>
      <c r="AB88" s="700">
        <v>0</v>
      </c>
      <c r="AC88" s="700">
        <v>0</v>
      </c>
      <c r="AD88" s="700">
        <v>0</v>
      </c>
      <c r="AE88" s="700">
        <v>0</v>
      </c>
      <c r="AF88" s="700">
        <v>0</v>
      </c>
      <c r="AG88" s="700">
        <v>0</v>
      </c>
      <c r="AH88" s="700">
        <v>0</v>
      </c>
      <c r="AI88" s="700">
        <v>0</v>
      </c>
      <c r="AJ88" s="700">
        <v>0</v>
      </c>
      <c r="AK88" s="700">
        <v>0</v>
      </c>
      <c r="AL88" s="700">
        <v>0</v>
      </c>
      <c r="AM88" s="700">
        <v>0</v>
      </c>
      <c r="AN88" s="700">
        <v>0</v>
      </c>
      <c r="AO88" s="700">
        <v>0</v>
      </c>
      <c r="AP88" s="700">
        <v>0</v>
      </c>
      <c r="AQ88" s="700">
        <v>0</v>
      </c>
      <c r="AR88" s="700">
        <v>0</v>
      </c>
      <c r="AS88" s="700">
        <v>0</v>
      </c>
      <c r="AT88" s="700">
        <v>0</v>
      </c>
      <c r="AU88" s="700">
        <v>0</v>
      </c>
      <c r="AV88" s="700">
        <v>0</v>
      </c>
      <c r="AW88" s="700">
        <v>0</v>
      </c>
      <c r="AX88" s="700">
        <v>0</v>
      </c>
      <c r="AY88" s="700">
        <v>0</v>
      </c>
      <c r="AZ88" s="700">
        <v>0</v>
      </c>
      <c r="BA88" s="700">
        <v>0</v>
      </c>
      <c r="BB88" s="700">
        <v>0</v>
      </c>
      <c r="BC88" s="700">
        <v>0</v>
      </c>
      <c r="BD88" s="700">
        <v>0</v>
      </c>
      <c r="BE88" s="700">
        <v>0</v>
      </c>
      <c r="BF88" s="700">
        <v>0</v>
      </c>
      <c r="BG88" s="699">
        <f t="shared" si="33"/>
        <v>673213799.05999994</v>
      </c>
      <c r="BH88" s="699">
        <f t="shared" si="33"/>
        <v>639832377.52799988</v>
      </c>
      <c r="BI88" s="699">
        <f t="shared" si="33"/>
        <v>438441868.01000005</v>
      </c>
      <c r="BJ88" s="699">
        <f t="shared" si="33"/>
        <v>214457133.24600002</v>
      </c>
      <c r="BK88" s="690"/>
    </row>
    <row r="89" spans="1:64" ht="45.75" customHeight="1" x14ac:dyDescent="0.25">
      <c r="A89" s="696" t="s">
        <v>2249</v>
      </c>
      <c r="B89" s="934"/>
      <c r="C89" s="697">
        <v>0</v>
      </c>
      <c r="D89" s="697">
        <v>0</v>
      </c>
      <c r="E89" s="697">
        <v>0</v>
      </c>
      <c r="F89" s="697">
        <v>0</v>
      </c>
      <c r="G89" s="697">
        <v>0</v>
      </c>
      <c r="H89" s="697">
        <v>0</v>
      </c>
      <c r="I89" s="697">
        <v>0</v>
      </c>
      <c r="J89" s="697">
        <v>0</v>
      </c>
      <c r="K89" s="697">
        <v>0</v>
      </c>
      <c r="L89" s="697">
        <v>0</v>
      </c>
      <c r="M89" s="697">
        <v>0</v>
      </c>
      <c r="N89" s="697">
        <v>0</v>
      </c>
      <c r="O89" s="697">
        <v>0</v>
      </c>
      <c r="P89" s="697">
        <v>0</v>
      </c>
      <c r="Q89" s="697">
        <v>0</v>
      </c>
      <c r="R89" s="697">
        <v>0</v>
      </c>
      <c r="S89" s="697">
        <v>0</v>
      </c>
      <c r="T89" s="697">
        <v>0</v>
      </c>
      <c r="U89" s="697">
        <v>0</v>
      </c>
      <c r="V89" s="697">
        <v>0</v>
      </c>
      <c r="W89" s="697">
        <v>0</v>
      </c>
      <c r="X89" s="697">
        <v>0</v>
      </c>
      <c r="Y89" s="697">
        <v>0</v>
      </c>
      <c r="Z89" s="697">
        <v>0</v>
      </c>
      <c r="AA89" s="697">
        <v>0</v>
      </c>
      <c r="AB89" s="697">
        <v>0</v>
      </c>
      <c r="AC89" s="697">
        <v>0</v>
      </c>
      <c r="AD89" s="697">
        <v>0</v>
      </c>
      <c r="AE89" s="697">
        <v>0</v>
      </c>
      <c r="AF89" s="697">
        <v>0</v>
      </c>
      <c r="AG89" s="697">
        <v>0</v>
      </c>
      <c r="AH89" s="697">
        <v>0</v>
      </c>
      <c r="AI89" s="697">
        <v>0</v>
      </c>
      <c r="AJ89" s="697">
        <v>0</v>
      </c>
      <c r="AK89" s="697">
        <v>0</v>
      </c>
      <c r="AL89" s="697">
        <v>0</v>
      </c>
      <c r="AM89" s="697">
        <v>0</v>
      </c>
      <c r="AN89" s="697">
        <v>0</v>
      </c>
      <c r="AO89" s="697">
        <v>0</v>
      </c>
      <c r="AP89" s="697">
        <v>0</v>
      </c>
      <c r="AQ89" s="697">
        <v>0</v>
      </c>
      <c r="AR89" s="697">
        <v>0</v>
      </c>
      <c r="AS89" s="697">
        <v>0</v>
      </c>
      <c r="AT89" s="697">
        <v>0</v>
      </c>
      <c r="AU89" s="697">
        <v>0</v>
      </c>
      <c r="AV89" s="697">
        <v>0</v>
      </c>
      <c r="AW89" s="697">
        <v>0</v>
      </c>
      <c r="AX89" s="697">
        <v>0</v>
      </c>
      <c r="AY89" s="697">
        <v>0</v>
      </c>
      <c r="AZ89" s="697">
        <v>0</v>
      </c>
      <c r="BA89" s="697">
        <v>0</v>
      </c>
      <c r="BB89" s="697">
        <v>0</v>
      </c>
      <c r="BC89" s="697">
        <v>0</v>
      </c>
      <c r="BD89" s="697">
        <v>0</v>
      </c>
      <c r="BE89" s="697">
        <v>0</v>
      </c>
      <c r="BF89" s="697">
        <v>0</v>
      </c>
      <c r="BG89" s="697">
        <f t="shared" si="33"/>
        <v>0</v>
      </c>
      <c r="BH89" s="697">
        <f t="shared" si="33"/>
        <v>0</v>
      </c>
      <c r="BI89" s="697">
        <f t="shared" si="33"/>
        <v>0</v>
      </c>
      <c r="BJ89" s="697">
        <f t="shared" si="33"/>
        <v>0</v>
      </c>
      <c r="BK89" s="690"/>
    </row>
    <row r="90" spans="1:64" ht="45.75" customHeight="1" x14ac:dyDescent="0.25">
      <c r="A90" s="698" t="s">
        <v>2250</v>
      </c>
      <c r="B90" s="934"/>
      <c r="C90" s="699">
        <f>2405367829.4/5</f>
        <v>481073565.88</v>
      </c>
      <c r="D90" s="699">
        <f>2238460721.74/5</f>
        <v>447692144.34799993</v>
      </c>
      <c r="E90" s="699">
        <f>2081508174.15/5</f>
        <v>416301634.83000004</v>
      </c>
      <c r="F90" s="699">
        <f>961584500.33/5</f>
        <v>192316900.06600001</v>
      </c>
      <c r="G90" s="700">
        <v>0</v>
      </c>
      <c r="H90" s="700">
        <v>0</v>
      </c>
      <c r="I90" s="700">
        <v>0</v>
      </c>
      <c r="J90" s="700">
        <v>0</v>
      </c>
      <c r="K90" s="700">
        <v>0</v>
      </c>
      <c r="L90" s="700">
        <v>0</v>
      </c>
      <c r="M90" s="700">
        <v>0</v>
      </c>
      <c r="N90" s="700">
        <v>0</v>
      </c>
      <c r="O90" s="699">
        <f t="shared" ref="O90:P93" si="45">960701165.9/5</f>
        <v>192140233.18000001</v>
      </c>
      <c r="P90" s="699">
        <f t="shared" si="45"/>
        <v>192140233.18000001</v>
      </c>
      <c r="Q90" s="699">
        <f t="shared" ref="Q90:R93" si="46">110701165.9/5</f>
        <v>22140233.18</v>
      </c>
      <c r="R90" s="699">
        <f t="shared" si="46"/>
        <v>22140233.18</v>
      </c>
      <c r="S90" s="700">
        <v>0</v>
      </c>
      <c r="T90" s="700">
        <v>0</v>
      </c>
      <c r="U90" s="700">
        <v>0</v>
      </c>
      <c r="V90" s="700">
        <v>0</v>
      </c>
      <c r="W90" s="700">
        <v>0</v>
      </c>
      <c r="X90" s="700">
        <v>0</v>
      </c>
      <c r="Y90" s="700">
        <v>0</v>
      </c>
      <c r="Z90" s="700">
        <v>0</v>
      </c>
      <c r="AA90" s="700">
        <v>0</v>
      </c>
      <c r="AB90" s="700">
        <v>0</v>
      </c>
      <c r="AC90" s="700">
        <v>0</v>
      </c>
      <c r="AD90" s="700">
        <v>0</v>
      </c>
      <c r="AE90" s="700">
        <v>0</v>
      </c>
      <c r="AF90" s="700">
        <v>0</v>
      </c>
      <c r="AG90" s="700">
        <v>0</v>
      </c>
      <c r="AH90" s="700">
        <v>0</v>
      </c>
      <c r="AI90" s="700">
        <v>0</v>
      </c>
      <c r="AJ90" s="700">
        <v>0</v>
      </c>
      <c r="AK90" s="700">
        <v>0</v>
      </c>
      <c r="AL90" s="700">
        <v>0</v>
      </c>
      <c r="AM90" s="700">
        <v>0</v>
      </c>
      <c r="AN90" s="700">
        <v>0</v>
      </c>
      <c r="AO90" s="700">
        <v>0</v>
      </c>
      <c r="AP90" s="700">
        <v>0</v>
      </c>
      <c r="AQ90" s="700">
        <v>0</v>
      </c>
      <c r="AR90" s="700">
        <v>0</v>
      </c>
      <c r="AS90" s="700">
        <v>0</v>
      </c>
      <c r="AT90" s="700">
        <v>0</v>
      </c>
      <c r="AU90" s="700">
        <v>0</v>
      </c>
      <c r="AV90" s="700">
        <v>0</v>
      </c>
      <c r="AW90" s="700">
        <v>0</v>
      </c>
      <c r="AX90" s="700">
        <v>0</v>
      </c>
      <c r="AY90" s="700">
        <v>0</v>
      </c>
      <c r="AZ90" s="700">
        <v>0</v>
      </c>
      <c r="BA90" s="700">
        <v>0</v>
      </c>
      <c r="BB90" s="700">
        <v>0</v>
      </c>
      <c r="BC90" s="700">
        <v>0</v>
      </c>
      <c r="BD90" s="700">
        <v>0</v>
      </c>
      <c r="BE90" s="700">
        <v>0</v>
      </c>
      <c r="BF90" s="700">
        <v>0</v>
      </c>
      <c r="BG90" s="699">
        <f t="shared" si="33"/>
        <v>673213799.05999994</v>
      </c>
      <c r="BH90" s="699">
        <f t="shared" si="33"/>
        <v>639832377.52799988</v>
      </c>
      <c r="BI90" s="699">
        <f t="shared" si="33"/>
        <v>438441868.01000005</v>
      </c>
      <c r="BJ90" s="699">
        <f t="shared" si="33"/>
        <v>214457133.24600002</v>
      </c>
      <c r="BK90" s="690"/>
    </row>
    <row r="91" spans="1:64" ht="45.75" customHeight="1" x14ac:dyDescent="0.25">
      <c r="A91" s="698" t="s">
        <v>2251</v>
      </c>
      <c r="B91" s="934"/>
      <c r="C91" s="699">
        <f>2405367829.4/5</f>
        <v>481073565.88</v>
      </c>
      <c r="D91" s="699">
        <f>2238460721.74/5</f>
        <v>447692144.34799993</v>
      </c>
      <c r="E91" s="699">
        <f>2081508174.15/5</f>
        <v>416301634.83000004</v>
      </c>
      <c r="F91" s="699">
        <f>961584500.33/5</f>
        <v>192316900.06600001</v>
      </c>
      <c r="G91" s="700">
        <v>0</v>
      </c>
      <c r="H91" s="700">
        <v>0</v>
      </c>
      <c r="I91" s="700">
        <v>0</v>
      </c>
      <c r="J91" s="700">
        <v>0</v>
      </c>
      <c r="K91" s="700">
        <v>0</v>
      </c>
      <c r="L91" s="700">
        <v>0</v>
      </c>
      <c r="M91" s="700">
        <v>0</v>
      </c>
      <c r="N91" s="700">
        <v>0</v>
      </c>
      <c r="O91" s="699">
        <f t="shared" si="45"/>
        <v>192140233.18000001</v>
      </c>
      <c r="P91" s="699">
        <f t="shared" si="45"/>
        <v>192140233.18000001</v>
      </c>
      <c r="Q91" s="699">
        <f t="shared" si="46"/>
        <v>22140233.18</v>
      </c>
      <c r="R91" s="699">
        <f t="shared" si="46"/>
        <v>22140233.18</v>
      </c>
      <c r="S91" s="700">
        <v>0</v>
      </c>
      <c r="T91" s="700">
        <v>0</v>
      </c>
      <c r="U91" s="700">
        <v>0</v>
      </c>
      <c r="V91" s="700">
        <v>0</v>
      </c>
      <c r="W91" s="700">
        <v>0</v>
      </c>
      <c r="X91" s="700">
        <v>0</v>
      </c>
      <c r="Y91" s="700">
        <v>0</v>
      </c>
      <c r="Z91" s="700">
        <v>0</v>
      </c>
      <c r="AA91" s="700">
        <v>0</v>
      </c>
      <c r="AB91" s="700">
        <v>0</v>
      </c>
      <c r="AC91" s="700">
        <v>0</v>
      </c>
      <c r="AD91" s="700">
        <v>0</v>
      </c>
      <c r="AE91" s="700">
        <v>0</v>
      </c>
      <c r="AF91" s="700">
        <v>0</v>
      </c>
      <c r="AG91" s="700">
        <v>0</v>
      </c>
      <c r="AH91" s="700">
        <v>0</v>
      </c>
      <c r="AI91" s="700">
        <v>0</v>
      </c>
      <c r="AJ91" s="700">
        <v>0</v>
      </c>
      <c r="AK91" s="700">
        <v>0</v>
      </c>
      <c r="AL91" s="700">
        <v>0</v>
      </c>
      <c r="AM91" s="700">
        <v>0</v>
      </c>
      <c r="AN91" s="700">
        <v>0</v>
      </c>
      <c r="AO91" s="700">
        <v>0</v>
      </c>
      <c r="AP91" s="700">
        <v>0</v>
      </c>
      <c r="AQ91" s="700">
        <v>0</v>
      </c>
      <c r="AR91" s="700">
        <v>0</v>
      </c>
      <c r="AS91" s="700">
        <v>0</v>
      </c>
      <c r="AT91" s="700">
        <v>0</v>
      </c>
      <c r="AU91" s="700">
        <v>0</v>
      </c>
      <c r="AV91" s="700">
        <v>0</v>
      </c>
      <c r="AW91" s="700">
        <v>0</v>
      </c>
      <c r="AX91" s="700">
        <v>0</v>
      </c>
      <c r="AY91" s="700">
        <v>0</v>
      </c>
      <c r="AZ91" s="700">
        <v>0</v>
      </c>
      <c r="BA91" s="700">
        <v>0</v>
      </c>
      <c r="BB91" s="700">
        <v>0</v>
      </c>
      <c r="BC91" s="700">
        <v>0</v>
      </c>
      <c r="BD91" s="700">
        <v>0</v>
      </c>
      <c r="BE91" s="700">
        <v>0</v>
      </c>
      <c r="BF91" s="700">
        <v>0</v>
      </c>
      <c r="BG91" s="699">
        <f t="shared" si="33"/>
        <v>673213799.05999994</v>
      </c>
      <c r="BH91" s="699">
        <f t="shared" si="33"/>
        <v>639832377.52799988</v>
      </c>
      <c r="BI91" s="699">
        <f t="shared" si="33"/>
        <v>438441868.01000005</v>
      </c>
      <c r="BJ91" s="699">
        <f t="shared" si="33"/>
        <v>214457133.24600002</v>
      </c>
      <c r="BK91" s="690"/>
    </row>
    <row r="92" spans="1:64" ht="45.75" customHeight="1" x14ac:dyDescent="0.25">
      <c r="A92" s="698" t="s">
        <v>2252</v>
      </c>
      <c r="B92" s="934"/>
      <c r="C92" s="699">
        <f>2405367829.4/5</f>
        <v>481073565.88</v>
      </c>
      <c r="D92" s="699">
        <f>2238460721.74/5</f>
        <v>447692144.34799993</v>
      </c>
      <c r="E92" s="699">
        <f>2081508174.15/5</f>
        <v>416301634.83000004</v>
      </c>
      <c r="F92" s="699">
        <f>961584500.33/5</f>
        <v>192316900.06600001</v>
      </c>
      <c r="G92" s="700">
        <v>0</v>
      </c>
      <c r="H92" s="700">
        <v>0</v>
      </c>
      <c r="I92" s="700">
        <v>0</v>
      </c>
      <c r="J92" s="700">
        <v>0</v>
      </c>
      <c r="K92" s="700">
        <v>0</v>
      </c>
      <c r="L92" s="700">
        <v>0</v>
      </c>
      <c r="M92" s="700">
        <v>0</v>
      </c>
      <c r="N92" s="700">
        <v>0</v>
      </c>
      <c r="O92" s="699">
        <f t="shared" si="45"/>
        <v>192140233.18000001</v>
      </c>
      <c r="P92" s="699">
        <f t="shared" si="45"/>
        <v>192140233.18000001</v>
      </c>
      <c r="Q92" s="699">
        <f t="shared" si="46"/>
        <v>22140233.18</v>
      </c>
      <c r="R92" s="699">
        <f t="shared" si="46"/>
        <v>22140233.18</v>
      </c>
      <c r="S92" s="700">
        <v>0</v>
      </c>
      <c r="T92" s="700">
        <v>0</v>
      </c>
      <c r="U92" s="700">
        <v>0</v>
      </c>
      <c r="V92" s="700">
        <v>0</v>
      </c>
      <c r="W92" s="700">
        <v>0</v>
      </c>
      <c r="X92" s="700">
        <v>0</v>
      </c>
      <c r="Y92" s="700">
        <v>0</v>
      </c>
      <c r="Z92" s="700">
        <v>0</v>
      </c>
      <c r="AA92" s="700">
        <v>0</v>
      </c>
      <c r="AB92" s="700">
        <v>0</v>
      </c>
      <c r="AC92" s="700">
        <v>0</v>
      </c>
      <c r="AD92" s="700">
        <v>0</v>
      </c>
      <c r="AE92" s="700">
        <v>0</v>
      </c>
      <c r="AF92" s="700">
        <v>0</v>
      </c>
      <c r="AG92" s="700">
        <v>0</v>
      </c>
      <c r="AH92" s="700">
        <v>0</v>
      </c>
      <c r="AI92" s="700">
        <v>0</v>
      </c>
      <c r="AJ92" s="700">
        <v>0</v>
      </c>
      <c r="AK92" s="700">
        <v>0</v>
      </c>
      <c r="AL92" s="700">
        <v>0</v>
      </c>
      <c r="AM92" s="700">
        <v>0</v>
      </c>
      <c r="AN92" s="700">
        <v>0</v>
      </c>
      <c r="AO92" s="700">
        <v>0</v>
      </c>
      <c r="AP92" s="700">
        <v>0</v>
      </c>
      <c r="AQ92" s="700">
        <v>0</v>
      </c>
      <c r="AR92" s="700">
        <v>0</v>
      </c>
      <c r="AS92" s="700">
        <v>0</v>
      </c>
      <c r="AT92" s="700">
        <v>0</v>
      </c>
      <c r="AU92" s="700">
        <v>0</v>
      </c>
      <c r="AV92" s="700">
        <v>0</v>
      </c>
      <c r="AW92" s="700">
        <v>0</v>
      </c>
      <c r="AX92" s="700">
        <v>0</v>
      </c>
      <c r="AY92" s="700">
        <v>0</v>
      </c>
      <c r="AZ92" s="700">
        <v>0</v>
      </c>
      <c r="BA92" s="700">
        <v>0</v>
      </c>
      <c r="BB92" s="700">
        <v>0</v>
      </c>
      <c r="BC92" s="700">
        <v>0</v>
      </c>
      <c r="BD92" s="700">
        <v>0</v>
      </c>
      <c r="BE92" s="700">
        <v>0</v>
      </c>
      <c r="BF92" s="700">
        <v>0</v>
      </c>
      <c r="BG92" s="699">
        <f t="shared" si="33"/>
        <v>673213799.05999994</v>
      </c>
      <c r="BH92" s="699">
        <f t="shared" si="33"/>
        <v>639832377.52799988</v>
      </c>
      <c r="BI92" s="699">
        <f t="shared" si="33"/>
        <v>438441868.01000005</v>
      </c>
      <c r="BJ92" s="699">
        <f t="shared" si="33"/>
        <v>214457133.24600002</v>
      </c>
      <c r="BK92" s="690"/>
    </row>
    <row r="93" spans="1:64" ht="45.75" customHeight="1" x14ac:dyDescent="0.25">
      <c r="A93" s="698" t="s">
        <v>2253</v>
      </c>
      <c r="B93" s="935"/>
      <c r="C93" s="699">
        <f>2405367829.4/5</f>
        <v>481073565.88</v>
      </c>
      <c r="D93" s="699">
        <f>2238460721.74/5</f>
        <v>447692144.34799993</v>
      </c>
      <c r="E93" s="699">
        <f>2081508174.15/5</f>
        <v>416301634.83000004</v>
      </c>
      <c r="F93" s="699">
        <f>961584500.33/5</f>
        <v>192316900.06600001</v>
      </c>
      <c r="G93" s="700">
        <v>0</v>
      </c>
      <c r="H93" s="700">
        <v>0</v>
      </c>
      <c r="I93" s="700">
        <v>0</v>
      </c>
      <c r="J93" s="700">
        <v>0</v>
      </c>
      <c r="K93" s="700">
        <v>0</v>
      </c>
      <c r="L93" s="700">
        <v>0</v>
      </c>
      <c r="M93" s="700">
        <v>0</v>
      </c>
      <c r="N93" s="700">
        <v>0</v>
      </c>
      <c r="O93" s="699">
        <f t="shared" si="45"/>
        <v>192140233.18000001</v>
      </c>
      <c r="P93" s="699">
        <f t="shared" si="45"/>
        <v>192140233.18000001</v>
      </c>
      <c r="Q93" s="699">
        <f t="shared" si="46"/>
        <v>22140233.18</v>
      </c>
      <c r="R93" s="699">
        <f t="shared" si="46"/>
        <v>22140233.18</v>
      </c>
      <c r="S93" s="700">
        <v>0</v>
      </c>
      <c r="T93" s="700">
        <v>0</v>
      </c>
      <c r="U93" s="700">
        <v>0</v>
      </c>
      <c r="V93" s="700">
        <v>0</v>
      </c>
      <c r="W93" s="700">
        <v>0</v>
      </c>
      <c r="X93" s="700">
        <v>0</v>
      </c>
      <c r="Y93" s="700">
        <v>0</v>
      </c>
      <c r="Z93" s="700">
        <v>0</v>
      </c>
      <c r="AA93" s="700">
        <v>0</v>
      </c>
      <c r="AB93" s="700">
        <v>0</v>
      </c>
      <c r="AC93" s="700">
        <v>0</v>
      </c>
      <c r="AD93" s="700">
        <v>0</v>
      </c>
      <c r="AE93" s="700">
        <v>0</v>
      </c>
      <c r="AF93" s="700">
        <v>0</v>
      </c>
      <c r="AG93" s="700">
        <v>0</v>
      </c>
      <c r="AH93" s="700">
        <v>0</v>
      </c>
      <c r="AI93" s="700">
        <v>0</v>
      </c>
      <c r="AJ93" s="700">
        <v>0</v>
      </c>
      <c r="AK93" s="700">
        <v>0</v>
      </c>
      <c r="AL93" s="700">
        <v>0</v>
      </c>
      <c r="AM93" s="700">
        <v>0</v>
      </c>
      <c r="AN93" s="700">
        <v>0</v>
      </c>
      <c r="AO93" s="700">
        <v>0</v>
      </c>
      <c r="AP93" s="700">
        <v>0</v>
      </c>
      <c r="AQ93" s="700">
        <v>0</v>
      </c>
      <c r="AR93" s="700">
        <v>0</v>
      </c>
      <c r="AS93" s="700">
        <v>0</v>
      </c>
      <c r="AT93" s="700">
        <v>0</v>
      </c>
      <c r="AU93" s="700">
        <v>0</v>
      </c>
      <c r="AV93" s="700">
        <v>0</v>
      </c>
      <c r="AW93" s="700">
        <v>0</v>
      </c>
      <c r="AX93" s="700">
        <v>0</v>
      </c>
      <c r="AY93" s="700">
        <v>0</v>
      </c>
      <c r="AZ93" s="700">
        <v>0</v>
      </c>
      <c r="BA93" s="700">
        <v>0</v>
      </c>
      <c r="BB93" s="700">
        <v>0</v>
      </c>
      <c r="BC93" s="700">
        <v>0</v>
      </c>
      <c r="BD93" s="700">
        <v>0</v>
      </c>
      <c r="BE93" s="700">
        <v>0</v>
      </c>
      <c r="BF93" s="700">
        <v>0</v>
      </c>
      <c r="BG93" s="699">
        <f t="shared" si="33"/>
        <v>673213799.05999994</v>
      </c>
      <c r="BH93" s="699">
        <f t="shared" si="33"/>
        <v>639832377.52799988</v>
      </c>
      <c r="BI93" s="699">
        <f t="shared" si="33"/>
        <v>438441868.01000005</v>
      </c>
      <c r="BJ93" s="699">
        <f t="shared" si="33"/>
        <v>214457133.24600002</v>
      </c>
      <c r="BK93" s="701">
        <f>+SUM(BG84:BG93)-B84</f>
        <v>0</v>
      </c>
    </row>
    <row r="94" spans="1:64" ht="45.75" customHeight="1" x14ac:dyDescent="0.25">
      <c r="A94" s="607" t="s">
        <v>2254</v>
      </c>
      <c r="B94" s="693">
        <f>SUM(B95:B98)</f>
        <v>4832677125.6000004</v>
      </c>
      <c r="C94" s="693">
        <f t="shared" ref="C94:BF94" si="47">SUM(C95:C98)</f>
        <v>2550798954.3099999</v>
      </c>
      <c r="D94" s="693">
        <f t="shared" si="47"/>
        <v>2416075446.71</v>
      </c>
      <c r="E94" s="693">
        <f t="shared" si="47"/>
        <v>2375387007.71</v>
      </c>
      <c r="F94" s="693">
        <f t="shared" si="47"/>
        <v>2352011823.71</v>
      </c>
      <c r="G94" s="693">
        <f t="shared" si="47"/>
        <v>268363440</v>
      </c>
      <c r="H94" s="693">
        <f t="shared" si="47"/>
        <v>117313702</v>
      </c>
      <c r="I94" s="693">
        <f t="shared" si="47"/>
        <v>117313702</v>
      </c>
      <c r="J94" s="693">
        <f t="shared" si="47"/>
        <v>117313702</v>
      </c>
      <c r="K94" s="693">
        <f t="shared" si="47"/>
        <v>126034934.56</v>
      </c>
      <c r="L94" s="693">
        <f t="shared" si="47"/>
        <v>80400616</v>
      </c>
      <c r="M94" s="693">
        <f t="shared" si="47"/>
        <v>80400616</v>
      </c>
      <c r="N94" s="693">
        <f t="shared" si="47"/>
        <v>78262648</v>
      </c>
      <c r="O94" s="693">
        <f t="shared" si="47"/>
        <v>0</v>
      </c>
      <c r="P94" s="693">
        <f t="shared" si="47"/>
        <v>0</v>
      </c>
      <c r="Q94" s="693">
        <f t="shared" si="47"/>
        <v>0</v>
      </c>
      <c r="R94" s="693">
        <f t="shared" si="47"/>
        <v>0</v>
      </c>
      <c r="S94" s="693">
        <f t="shared" si="47"/>
        <v>10000000</v>
      </c>
      <c r="T94" s="693">
        <f t="shared" si="47"/>
        <v>9858992</v>
      </c>
      <c r="U94" s="693">
        <f t="shared" si="47"/>
        <v>9858992</v>
      </c>
      <c r="V94" s="693">
        <f t="shared" si="47"/>
        <v>9858992</v>
      </c>
      <c r="W94" s="693">
        <f>SUM(W95:W98)</f>
        <v>1347479796.73</v>
      </c>
      <c r="X94" s="693">
        <f t="shared" si="47"/>
        <v>1347470320</v>
      </c>
      <c r="Y94" s="693">
        <f t="shared" si="47"/>
        <v>404241096</v>
      </c>
      <c r="Z94" s="693">
        <f t="shared" si="47"/>
        <v>404241096</v>
      </c>
      <c r="AA94" s="693">
        <f t="shared" si="47"/>
        <v>100000000</v>
      </c>
      <c r="AB94" s="693">
        <f t="shared" si="47"/>
        <v>98793036</v>
      </c>
      <c r="AC94" s="693">
        <f t="shared" si="47"/>
        <v>98793036</v>
      </c>
      <c r="AD94" s="693">
        <f t="shared" si="47"/>
        <v>98793036</v>
      </c>
      <c r="AE94" s="693">
        <f t="shared" si="47"/>
        <v>0</v>
      </c>
      <c r="AF94" s="693">
        <f t="shared" si="47"/>
        <v>0</v>
      </c>
      <c r="AG94" s="693">
        <f t="shared" si="47"/>
        <v>0</v>
      </c>
      <c r="AH94" s="693">
        <f t="shared" si="47"/>
        <v>0</v>
      </c>
      <c r="AI94" s="693">
        <f t="shared" si="47"/>
        <v>0</v>
      </c>
      <c r="AJ94" s="693">
        <f t="shared" si="47"/>
        <v>0</v>
      </c>
      <c r="AK94" s="693">
        <f t="shared" si="47"/>
        <v>0</v>
      </c>
      <c r="AL94" s="693">
        <f t="shared" si="47"/>
        <v>0</v>
      </c>
      <c r="AM94" s="693">
        <f t="shared" si="47"/>
        <v>0</v>
      </c>
      <c r="AN94" s="693">
        <f t="shared" si="47"/>
        <v>0</v>
      </c>
      <c r="AO94" s="693">
        <f t="shared" si="47"/>
        <v>0</v>
      </c>
      <c r="AP94" s="693">
        <f t="shared" si="47"/>
        <v>0</v>
      </c>
      <c r="AQ94" s="693">
        <f t="shared" si="47"/>
        <v>0</v>
      </c>
      <c r="AR94" s="693">
        <f t="shared" si="47"/>
        <v>0</v>
      </c>
      <c r="AS94" s="693">
        <f t="shared" si="47"/>
        <v>0</v>
      </c>
      <c r="AT94" s="693">
        <f t="shared" si="47"/>
        <v>0</v>
      </c>
      <c r="AU94" s="693">
        <f t="shared" si="47"/>
        <v>0</v>
      </c>
      <c r="AV94" s="693">
        <f t="shared" si="47"/>
        <v>0</v>
      </c>
      <c r="AW94" s="693">
        <f t="shared" si="47"/>
        <v>0</v>
      </c>
      <c r="AX94" s="693">
        <f t="shared" si="47"/>
        <v>0</v>
      </c>
      <c r="AY94" s="693">
        <f t="shared" si="47"/>
        <v>250000000</v>
      </c>
      <c r="AZ94" s="693">
        <f t="shared" si="47"/>
        <v>249193180</v>
      </c>
      <c r="BA94" s="693">
        <f t="shared" si="47"/>
        <v>249193180</v>
      </c>
      <c r="BB94" s="693">
        <f t="shared" si="47"/>
        <v>249193180</v>
      </c>
      <c r="BC94" s="693">
        <f t="shared" si="47"/>
        <v>180000000</v>
      </c>
      <c r="BD94" s="693">
        <f t="shared" si="47"/>
        <v>180000000</v>
      </c>
      <c r="BE94" s="693">
        <f t="shared" si="47"/>
        <v>180000000</v>
      </c>
      <c r="BF94" s="693">
        <f t="shared" si="47"/>
        <v>177948611</v>
      </c>
      <c r="BG94" s="693">
        <f t="shared" si="33"/>
        <v>4832677125.6000004</v>
      </c>
      <c r="BH94" s="693">
        <f t="shared" si="33"/>
        <v>4499105292.71</v>
      </c>
      <c r="BI94" s="693">
        <f t="shared" si="33"/>
        <v>3515187629.71</v>
      </c>
      <c r="BJ94" s="693">
        <f t="shared" si="33"/>
        <v>3487623088.71</v>
      </c>
      <c r="BK94" s="694">
        <f>+SUM(BG95:BG98)-B94</f>
        <v>0</v>
      </c>
      <c r="BL94" s="695">
        <f>+BG94-B94</f>
        <v>0</v>
      </c>
    </row>
    <row r="95" spans="1:64" ht="45.75" customHeight="1" x14ac:dyDescent="0.25">
      <c r="A95" s="698" t="s">
        <v>2255</v>
      </c>
      <c r="B95" s="938">
        <f>3485197328.87+1347479796.73</f>
        <v>4832677125.6000004</v>
      </c>
      <c r="C95" s="699">
        <f>2550798954.31/3</f>
        <v>850266318.10333335</v>
      </c>
      <c r="D95" s="699">
        <f>2416075446.71/3</f>
        <v>805358482.23666668</v>
      </c>
      <c r="E95" s="699">
        <f>2375387007.71/3</f>
        <v>791795669.23666668</v>
      </c>
      <c r="F95" s="699">
        <f>2352011823.71/3</f>
        <v>784003941.23666668</v>
      </c>
      <c r="G95" s="699">
        <f>268363440/3</f>
        <v>89454480</v>
      </c>
      <c r="H95" s="699">
        <f t="shared" ref="H95:J96" si="48">117313702/3</f>
        <v>39104567.333333336</v>
      </c>
      <c r="I95" s="699">
        <f t="shared" si="48"/>
        <v>39104567.333333336</v>
      </c>
      <c r="J95" s="699">
        <f t="shared" si="48"/>
        <v>39104567.333333336</v>
      </c>
      <c r="K95" s="699">
        <f>126034934.56/2</f>
        <v>63017467.280000001</v>
      </c>
      <c r="L95" s="699">
        <f>80400616/2</f>
        <v>40200308</v>
      </c>
      <c r="M95" s="699">
        <f>80400616/2</f>
        <v>40200308</v>
      </c>
      <c r="N95" s="699">
        <f>78262648/2</f>
        <v>39131324</v>
      </c>
      <c r="O95" s="700">
        <v>0</v>
      </c>
      <c r="P95" s="700">
        <v>0</v>
      </c>
      <c r="Q95" s="700">
        <v>0</v>
      </c>
      <c r="R95" s="700">
        <v>0</v>
      </c>
      <c r="S95" s="699">
        <f>10000000/2</f>
        <v>5000000</v>
      </c>
      <c r="T95" s="699">
        <f>9858992/2</f>
        <v>4929496</v>
      </c>
      <c r="U95" s="699">
        <f>9858992/2</f>
        <v>4929496</v>
      </c>
      <c r="V95" s="699">
        <f>9858992/2</f>
        <v>4929496</v>
      </c>
      <c r="W95" s="700">
        <v>0</v>
      </c>
      <c r="X95" s="700">
        <v>0</v>
      </c>
      <c r="Y95" s="700">
        <v>0</v>
      </c>
      <c r="Z95" s="700">
        <v>0</v>
      </c>
      <c r="AA95" s="699">
        <f>100000000/2</f>
        <v>50000000</v>
      </c>
      <c r="AB95" s="699">
        <f>98793036/2</f>
        <v>49396518</v>
      </c>
      <c r="AC95" s="699">
        <f>98793036/2</f>
        <v>49396518</v>
      </c>
      <c r="AD95" s="699">
        <f>98793036/2</f>
        <v>49396518</v>
      </c>
      <c r="AE95" s="700">
        <v>0</v>
      </c>
      <c r="AF95" s="700">
        <v>0</v>
      </c>
      <c r="AG95" s="700">
        <v>0</v>
      </c>
      <c r="AH95" s="700">
        <v>0</v>
      </c>
      <c r="AI95" s="700">
        <v>0</v>
      </c>
      <c r="AJ95" s="700">
        <v>0</v>
      </c>
      <c r="AK95" s="700">
        <v>0</v>
      </c>
      <c r="AL95" s="700">
        <v>0</v>
      </c>
      <c r="AM95" s="700">
        <v>0</v>
      </c>
      <c r="AN95" s="700">
        <v>0</v>
      </c>
      <c r="AO95" s="700">
        <v>0</v>
      </c>
      <c r="AP95" s="700">
        <v>0</v>
      </c>
      <c r="AQ95" s="700">
        <v>0</v>
      </c>
      <c r="AR95" s="700">
        <v>0</v>
      </c>
      <c r="AS95" s="700">
        <v>0</v>
      </c>
      <c r="AT95" s="700">
        <v>0</v>
      </c>
      <c r="AU95" s="700">
        <v>0</v>
      </c>
      <c r="AV95" s="700">
        <v>0</v>
      </c>
      <c r="AW95" s="700">
        <v>0</v>
      </c>
      <c r="AX95" s="700">
        <v>0</v>
      </c>
      <c r="AY95" s="699">
        <f>+[10]InfMesPptoCDP.rpt!$P$576</f>
        <v>250000000</v>
      </c>
      <c r="AZ95" s="699">
        <f>+[10]InfMesPptoCDP.rpt!$Q$576</f>
        <v>249193180</v>
      </c>
      <c r="BA95" s="699">
        <f>+[10]InfMesPptoCDP.rpt!$R$576</f>
        <v>249193180</v>
      </c>
      <c r="BB95" s="699">
        <f>+[10]InfMesPptoCDP.rpt!$S$576</f>
        <v>249193180</v>
      </c>
      <c r="BC95" s="700">
        <v>0</v>
      </c>
      <c r="BD95" s="700">
        <v>0</v>
      </c>
      <c r="BE95" s="700">
        <v>0</v>
      </c>
      <c r="BF95" s="700">
        <v>0</v>
      </c>
      <c r="BG95" s="699">
        <f t="shared" si="33"/>
        <v>1307738265.3833332</v>
      </c>
      <c r="BH95" s="699">
        <f t="shared" si="33"/>
        <v>1188182551.5700002</v>
      </c>
      <c r="BI95" s="699">
        <f t="shared" si="33"/>
        <v>1174619738.5700002</v>
      </c>
      <c r="BJ95" s="699">
        <f t="shared" si="33"/>
        <v>1165759026.5700002</v>
      </c>
      <c r="BK95" s="690"/>
    </row>
    <row r="96" spans="1:64" ht="45.75" customHeight="1" x14ac:dyDescent="0.25">
      <c r="A96" s="698" t="s">
        <v>2256</v>
      </c>
      <c r="B96" s="938"/>
      <c r="C96" s="699">
        <f>2550798954.31/3</f>
        <v>850266318.10333335</v>
      </c>
      <c r="D96" s="699">
        <f>2416075446.71/3</f>
        <v>805358482.23666668</v>
      </c>
      <c r="E96" s="699">
        <f>2375387007.71/3</f>
        <v>791795669.23666668</v>
      </c>
      <c r="F96" s="699">
        <f>2352011823.71/3</f>
        <v>784003941.23666668</v>
      </c>
      <c r="G96" s="699">
        <f>268363440/3</f>
        <v>89454480</v>
      </c>
      <c r="H96" s="699">
        <f t="shared" si="48"/>
        <v>39104567.333333336</v>
      </c>
      <c r="I96" s="699">
        <f t="shared" si="48"/>
        <v>39104567.333333336</v>
      </c>
      <c r="J96" s="699">
        <f t="shared" si="48"/>
        <v>39104567.333333336</v>
      </c>
      <c r="K96" s="700">
        <v>0</v>
      </c>
      <c r="L96" s="700">
        <v>0</v>
      </c>
      <c r="M96" s="700">
        <v>0</v>
      </c>
      <c r="N96" s="700">
        <v>0</v>
      </c>
      <c r="O96" s="700">
        <v>0</v>
      </c>
      <c r="P96" s="700">
        <v>0</v>
      </c>
      <c r="Q96" s="700">
        <v>0</v>
      </c>
      <c r="R96" s="700">
        <v>0</v>
      </c>
      <c r="S96" s="700">
        <v>0</v>
      </c>
      <c r="T96" s="700">
        <v>0</v>
      </c>
      <c r="U96" s="700">
        <v>0</v>
      </c>
      <c r="V96" s="700">
        <v>0</v>
      </c>
      <c r="W96" s="700">
        <v>0</v>
      </c>
      <c r="X96" s="700">
        <v>0</v>
      </c>
      <c r="Y96" s="700">
        <v>0</v>
      </c>
      <c r="Z96" s="700">
        <v>0</v>
      </c>
      <c r="AA96" s="700">
        <v>0</v>
      </c>
      <c r="AB96" s="700">
        <v>0</v>
      </c>
      <c r="AC96" s="700">
        <v>0</v>
      </c>
      <c r="AD96" s="700">
        <v>0</v>
      </c>
      <c r="AE96" s="700">
        <v>0</v>
      </c>
      <c r="AF96" s="700">
        <v>0</v>
      </c>
      <c r="AG96" s="700">
        <v>0</v>
      </c>
      <c r="AH96" s="700">
        <v>0</v>
      </c>
      <c r="AI96" s="700">
        <v>0</v>
      </c>
      <c r="AJ96" s="700">
        <v>0</v>
      </c>
      <c r="AK96" s="700">
        <v>0</v>
      </c>
      <c r="AL96" s="700">
        <v>0</v>
      </c>
      <c r="AM96" s="700">
        <v>0</v>
      </c>
      <c r="AN96" s="700">
        <v>0</v>
      </c>
      <c r="AO96" s="700">
        <v>0</v>
      </c>
      <c r="AP96" s="700">
        <v>0</v>
      </c>
      <c r="AQ96" s="700">
        <v>0</v>
      </c>
      <c r="AR96" s="700">
        <v>0</v>
      </c>
      <c r="AS96" s="700">
        <v>0</v>
      </c>
      <c r="AT96" s="700">
        <v>0</v>
      </c>
      <c r="AU96" s="700">
        <v>0</v>
      </c>
      <c r="AV96" s="700">
        <v>0</v>
      </c>
      <c r="AW96" s="700">
        <v>0</v>
      </c>
      <c r="AX96" s="700">
        <v>0</v>
      </c>
      <c r="AY96" s="700">
        <v>0</v>
      </c>
      <c r="AZ96" s="700">
        <v>0</v>
      </c>
      <c r="BA96" s="700">
        <v>0</v>
      </c>
      <c r="BB96" s="700">
        <v>0</v>
      </c>
      <c r="BC96" s="699">
        <f>+[10]InfMesPptoCDP.rpt!$P$577</f>
        <v>180000000</v>
      </c>
      <c r="BD96" s="699">
        <f>+[10]InfMesPptoCDP.rpt!$Q$577</f>
        <v>180000000</v>
      </c>
      <c r="BE96" s="699">
        <f>+[10]InfMesPptoCDP.rpt!$R$577</f>
        <v>180000000</v>
      </c>
      <c r="BF96" s="699">
        <f>+[10]InfMesPptoCDP.rpt!$S$577</f>
        <v>177948611</v>
      </c>
      <c r="BG96" s="699">
        <f t="shared" si="33"/>
        <v>1119720798.1033335</v>
      </c>
      <c r="BH96" s="699">
        <f t="shared" si="33"/>
        <v>1024463049.5700001</v>
      </c>
      <c r="BI96" s="699">
        <f t="shared" si="33"/>
        <v>1010900236.5700001</v>
      </c>
      <c r="BJ96" s="699">
        <f t="shared" si="33"/>
        <v>1001057119.5700001</v>
      </c>
      <c r="BK96" s="690"/>
    </row>
    <row r="97" spans="1:64" ht="45.75" customHeight="1" x14ac:dyDescent="0.25">
      <c r="A97" s="703" t="s">
        <v>2257</v>
      </c>
      <c r="B97" s="938"/>
      <c r="C97" s="704">
        <v>0</v>
      </c>
      <c r="D97" s="704">
        <v>0</v>
      </c>
      <c r="E97" s="704">
        <v>0</v>
      </c>
      <c r="F97" s="704">
        <v>0</v>
      </c>
      <c r="G97" s="704">
        <v>0</v>
      </c>
      <c r="H97" s="704">
        <v>0</v>
      </c>
      <c r="I97" s="704">
        <v>0</v>
      </c>
      <c r="J97" s="704">
        <v>0</v>
      </c>
      <c r="K97" s="704">
        <v>0</v>
      </c>
      <c r="L97" s="704">
        <v>0</v>
      </c>
      <c r="M97" s="704">
        <v>0</v>
      </c>
      <c r="N97" s="704">
        <v>0</v>
      </c>
      <c r="O97" s="704">
        <v>0</v>
      </c>
      <c r="P97" s="704">
        <v>0</v>
      </c>
      <c r="Q97" s="704">
        <v>0</v>
      </c>
      <c r="R97" s="704">
        <v>0</v>
      </c>
      <c r="S97" s="704">
        <v>0</v>
      </c>
      <c r="T97" s="704">
        <v>0</v>
      </c>
      <c r="U97" s="704">
        <v>0</v>
      </c>
      <c r="V97" s="704">
        <v>0</v>
      </c>
      <c r="W97" s="704">
        <v>1347479796.73</v>
      </c>
      <c r="X97" s="704">
        <v>1347470320</v>
      </c>
      <c r="Y97" s="704">
        <v>404241096</v>
      </c>
      <c r="Z97" s="704">
        <v>404241096</v>
      </c>
      <c r="AA97" s="704">
        <v>0</v>
      </c>
      <c r="AB97" s="704">
        <v>0</v>
      </c>
      <c r="AC97" s="704">
        <v>0</v>
      </c>
      <c r="AD97" s="704">
        <v>0</v>
      </c>
      <c r="AE97" s="704">
        <v>0</v>
      </c>
      <c r="AF97" s="704">
        <v>0</v>
      </c>
      <c r="AG97" s="704">
        <v>0</v>
      </c>
      <c r="AH97" s="704">
        <v>0</v>
      </c>
      <c r="AI97" s="704">
        <v>0</v>
      </c>
      <c r="AJ97" s="704">
        <v>0</v>
      </c>
      <c r="AK97" s="704">
        <v>0</v>
      </c>
      <c r="AL97" s="704">
        <v>0</v>
      </c>
      <c r="AM97" s="704">
        <v>0</v>
      </c>
      <c r="AN97" s="704">
        <v>0</v>
      </c>
      <c r="AO97" s="704">
        <v>0</v>
      </c>
      <c r="AP97" s="704">
        <v>0</v>
      </c>
      <c r="AQ97" s="704">
        <v>0</v>
      </c>
      <c r="AR97" s="704">
        <v>0</v>
      </c>
      <c r="AS97" s="704">
        <v>0</v>
      </c>
      <c r="AT97" s="704">
        <v>0</v>
      </c>
      <c r="AU97" s="704">
        <v>0</v>
      </c>
      <c r="AV97" s="704">
        <v>0</v>
      </c>
      <c r="AW97" s="704">
        <v>0</v>
      </c>
      <c r="AX97" s="704">
        <v>0</v>
      </c>
      <c r="AY97" s="704">
        <v>0</v>
      </c>
      <c r="AZ97" s="704">
        <v>0</v>
      </c>
      <c r="BA97" s="704">
        <v>0</v>
      </c>
      <c r="BB97" s="704">
        <v>0</v>
      </c>
      <c r="BC97" s="704">
        <v>0</v>
      </c>
      <c r="BD97" s="704">
        <v>0</v>
      </c>
      <c r="BE97" s="704">
        <v>0</v>
      </c>
      <c r="BF97" s="704">
        <v>0</v>
      </c>
      <c r="BG97" s="704">
        <f t="shared" si="33"/>
        <v>1347479796.73</v>
      </c>
      <c r="BH97" s="704">
        <f t="shared" si="33"/>
        <v>1347470320</v>
      </c>
      <c r="BI97" s="704">
        <f t="shared" si="33"/>
        <v>404241096</v>
      </c>
      <c r="BJ97" s="704">
        <f t="shared" si="33"/>
        <v>404241096</v>
      </c>
      <c r="BK97" s="709"/>
    </row>
    <row r="98" spans="1:64" ht="45.75" customHeight="1" x14ac:dyDescent="0.25">
      <c r="A98" s="698" t="s">
        <v>2258</v>
      </c>
      <c r="B98" s="938"/>
      <c r="C98" s="699">
        <f>2550798954.31/3</f>
        <v>850266318.10333335</v>
      </c>
      <c r="D98" s="699">
        <f>2416075446.71/3</f>
        <v>805358482.23666668</v>
      </c>
      <c r="E98" s="699">
        <f>2375387007.71/3</f>
        <v>791795669.23666668</v>
      </c>
      <c r="F98" s="699">
        <f>2352011823.71/3</f>
        <v>784003941.23666668</v>
      </c>
      <c r="G98" s="699">
        <f>268363440/3</f>
        <v>89454480</v>
      </c>
      <c r="H98" s="699">
        <f>117313702/3</f>
        <v>39104567.333333336</v>
      </c>
      <c r="I98" s="699">
        <f>117313702/3</f>
        <v>39104567.333333336</v>
      </c>
      <c r="J98" s="699">
        <f>117313702/3</f>
        <v>39104567.333333336</v>
      </c>
      <c r="K98" s="699">
        <f>126034934.56/2</f>
        <v>63017467.280000001</v>
      </c>
      <c r="L98" s="699">
        <f>80400616/2</f>
        <v>40200308</v>
      </c>
      <c r="M98" s="699">
        <f>80400616/2</f>
        <v>40200308</v>
      </c>
      <c r="N98" s="699">
        <f>78262648/2</f>
        <v>39131324</v>
      </c>
      <c r="O98" s="700">
        <v>0</v>
      </c>
      <c r="P98" s="700">
        <v>0</v>
      </c>
      <c r="Q98" s="700">
        <v>0</v>
      </c>
      <c r="R98" s="700">
        <v>0</v>
      </c>
      <c r="S98" s="699">
        <f>10000000/2</f>
        <v>5000000</v>
      </c>
      <c r="T98" s="699">
        <f>9858992/2</f>
        <v>4929496</v>
      </c>
      <c r="U98" s="699">
        <f>9858992/2</f>
        <v>4929496</v>
      </c>
      <c r="V98" s="699">
        <f>9858992/2</f>
        <v>4929496</v>
      </c>
      <c r="W98" s="700">
        <v>0</v>
      </c>
      <c r="X98" s="700">
        <v>0</v>
      </c>
      <c r="Y98" s="700">
        <v>0</v>
      </c>
      <c r="Z98" s="700">
        <v>0</v>
      </c>
      <c r="AA98" s="699">
        <f>100000000/2</f>
        <v>50000000</v>
      </c>
      <c r="AB98" s="699">
        <f>98793036/2</f>
        <v>49396518</v>
      </c>
      <c r="AC98" s="699">
        <f>98793036/2</f>
        <v>49396518</v>
      </c>
      <c r="AD98" s="699">
        <f>98793036/2</f>
        <v>49396518</v>
      </c>
      <c r="AE98" s="700">
        <v>0</v>
      </c>
      <c r="AF98" s="700">
        <v>0</v>
      </c>
      <c r="AG98" s="700">
        <v>0</v>
      </c>
      <c r="AH98" s="700">
        <v>0</v>
      </c>
      <c r="AI98" s="700">
        <v>0</v>
      </c>
      <c r="AJ98" s="700">
        <v>0</v>
      </c>
      <c r="AK98" s="700">
        <v>0</v>
      </c>
      <c r="AL98" s="700">
        <v>0</v>
      </c>
      <c r="AM98" s="700">
        <v>0</v>
      </c>
      <c r="AN98" s="700">
        <v>0</v>
      </c>
      <c r="AO98" s="700">
        <v>0</v>
      </c>
      <c r="AP98" s="700">
        <v>0</v>
      </c>
      <c r="AQ98" s="700">
        <v>0</v>
      </c>
      <c r="AR98" s="700">
        <v>0</v>
      </c>
      <c r="AS98" s="700">
        <v>0</v>
      </c>
      <c r="AT98" s="700">
        <v>0</v>
      </c>
      <c r="AU98" s="700">
        <v>0</v>
      </c>
      <c r="AV98" s="700">
        <v>0</v>
      </c>
      <c r="AW98" s="700">
        <v>0</v>
      </c>
      <c r="AX98" s="700">
        <v>0</v>
      </c>
      <c r="AY98" s="700">
        <v>0</v>
      </c>
      <c r="AZ98" s="700">
        <v>0</v>
      </c>
      <c r="BA98" s="700">
        <v>0</v>
      </c>
      <c r="BB98" s="700">
        <v>0</v>
      </c>
      <c r="BC98" s="700">
        <v>0</v>
      </c>
      <c r="BD98" s="700">
        <v>0</v>
      </c>
      <c r="BE98" s="700">
        <v>0</v>
      </c>
      <c r="BF98" s="700">
        <v>0</v>
      </c>
      <c r="BG98" s="699">
        <f t="shared" si="33"/>
        <v>1057738265.3833333</v>
      </c>
      <c r="BH98" s="699">
        <f t="shared" si="33"/>
        <v>938989371.57000005</v>
      </c>
      <c r="BI98" s="699">
        <f t="shared" si="33"/>
        <v>925426558.57000005</v>
      </c>
      <c r="BJ98" s="699">
        <f t="shared" si="33"/>
        <v>916565846.57000005</v>
      </c>
      <c r="BK98" s="701">
        <f>+SUM(BG95:BG98)-B95</f>
        <v>0</v>
      </c>
    </row>
    <row r="99" spans="1:64" ht="45.75" customHeight="1" x14ac:dyDescent="0.25">
      <c r="A99" s="607" t="s">
        <v>2259</v>
      </c>
      <c r="B99" s="693">
        <f>SUM(B100:B102)</f>
        <v>822307786</v>
      </c>
      <c r="C99" s="693">
        <f t="shared" ref="C99:BF99" si="49">SUM(C100:C102)</f>
        <v>822307786</v>
      </c>
      <c r="D99" s="693">
        <f t="shared" si="49"/>
        <v>598245559</v>
      </c>
      <c r="E99" s="693">
        <f t="shared" si="49"/>
        <v>598245559</v>
      </c>
      <c r="F99" s="693">
        <f t="shared" si="49"/>
        <v>589073639</v>
      </c>
      <c r="G99" s="693">
        <f t="shared" si="49"/>
        <v>0</v>
      </c>
      <c r="H99" s="693">
        <f t="shared" si="49"/>
        <v>0</v>
      </c>
      <c r="I99" s="693">
        <f t="shared" si="49"/>
        <v>0</v>
      </c>
      <c r="J99" s="693">
        <f t="shared" si="49"/>
        <v>0</v>
      </c>
      <c r="K99" s="693">
        <f t="shared" si="49"/>
        <v>0</v>
      </c>
      <c r="L99" s="693">
        <f t="shared" si="49"/>
        <v>0</v>
      </c>
      <c r="M99" s="693">
        <f t="shared" si="49"/>
        <v>0</v>
      </c>
      <c r="N99" s="693">
        <f t="shared" si="49"/>
        <v>0</v>
      </c>
      <c r="O99" s="693">
        <f t="shared" si="49"/>
        <v>0</v>
      </c>
      <c r="P99" s="693">
        <f t="shared" si="49"/>
        <v>0</v>
      </c>
      <c r="Q99" s="693">
        <f t="shared" si="49"/>
        <v>0</v>
      </c>
      <c r="R99" s="693">
        <f t="shared" si="49"/>
        <v>0</v>
      </c>
      <c r="S99" s="693">
        <f t="shared" si="49"/>
        <v>0</v>
      </c>
      <c r="T99" s="693">
        <f t="shared" si="49"/>
        <v>0</v>
      </c>
      <c r="U99" s="693">
        <f t="shared" si="49"/>
        <v>0</v>
      </c>
      <c r="V99" s="693">
        <f t="shared" si="49"/>
        <v>0</v>
      </c>
      <c r="W99" s="693">
        <f t="shared" si="49"/>
        <v>0</v>
      </c>
      <c r="X99" s="693">
        <f t="shared" si="49"/>
        <v>0</v>
      </c>
      <c r="Y99" s="693">
        <f t="shared" si="49"/>
        <v>0</v>
      </c>
      <c r="Z99" s="693">
        <f t="shared" si="49"/>
        <v>0</v>
      </c>
      <c r="AA99" s="693">
        <f t="shared" si="49"/>
        <v>0</v>
      </c>
      <c r="AB99" s="693">
        <f t="shared" si="49"/>
        <v>0</v>
      </c>
      <c r="AC99" s="693">
        <f t="shared" si="49"/>
        <v>0</v>
      </c>
      <c r="AD99" s="693">
        <f t="shared" si="49"/>
        <v>0</v>
      </c>
      <c r="AE99" s="693">
        <f t="shared" si="49"/>
        <v>0</v>
      </c>
      <c r="AF99" s="693">
        <f t="shared" si="49"/>
        <v>0</v>
      </c>
      <c r="AG99" s="693">
        <f t="shared" si="49"/>
        <v>0</v>
      </c>
      <c r="AH99" s="693">
        <f t="shared" si="49"/>
        <v>0</v>
      </c>
      <c r="AI99" s="693">
        <f t="shared" si="49"/>
        <v>0</v>
      </c>
      <c r="AJ99" s="693">
        <f t="shared" si="49"/>
        <v>0</v>
      </c>
      <c r="AK99" s="693">
        <f t="shared" si="49"/>
        <v>0</v>
      </c>
      <c r="AL99" s="693">
        <f t="shared" si="49"/>
        <v>0</v>
      </c>
      <c r="AM99" s="693">
        <f t="shared" si="49"/>
        <v>0</v>
      </c>
      <c r="AN99" s="693">
        <f t="shared" si="49"/>
        <v>0</v>
      </c>
      <c r="AO99" s="693">
        <f t="shared" si="49"/>
        <v>0</v>
      </c>
      <c r="AP99" s="693">
        <f t="shared" si="49"/>
        <v>0</v>
      </c>
      <c r="AQ99" s="693">
        <f t="shared" si="49"/>
        <v>0</v>
      </c>
      <c r="AR99" s="693">
        <f t="shared" si="49"/>
        <v>0</v>
      </c>
      <c r="AS99" s="693">
        <f t="shared" si="49"/>
        <v>0</v>
      </c>
      <c r="AT99" s="693">
        <f t="shared" si="49"/>
        <v>0</v>
      </c>
      <c r="AU99" s="693">
        <f t="shared" si="49"/>
        <v>0</v>
      </c>
      <c r="AV99" s="693">
        <f t="shared" si="49"/>
        <v>0</v>
      </c>
      <c r="AW99" s="693">
        <f t="shared" si="49"/>
        <v>0</v>
      </c>
      <c r="AX99" s="693">
        <f t="shared" si="49"/>
        <v>0</v>
      </c>
      <c r="AY99" s="693">
        <f t="shared" si="49"/>
        <v>0</v>
      </c>
      <c r="AZ99" s="693">
        <f t="shared" si="49"/>
        <v>0</v>
      </c>
      <c r="BA99" s="693">
        <f t="shared" si="49"/>
        <v>0</v>
      </c>
      <c r="BB99" s="693">
        <f t="shared" si="49"/>
        <v>0</v>
      </c>
      <c r="BC99" s="693">
        <f t="shared" si="49"/>
        <v>0</v>
      </c>
      <c r="BD99" s="693">
        <f t="shared" si="49"/>
        <v>0</v>
      </c>
      <c r="BE99" s="693">
        <f t="shared" si="49"/>
        <v>0</v>
      </c>
      <c r="BF99" s="693">
        <f t="shared" si="49"/>
        <v>0</v>
      </c>
      <c r="BG99" s="693">
        <f t="shared" si="33"/>
        <v>822307786</v>
      </c>
      <c r="BH99" s="693">
        <f t="shared" si="33"/>
        <v>598245559</v>
      </c>
      <c r="BI99" s="693">
        <f t="shared" si="33"/>
        <v>598245559</v>
      </c>
      <c r="BJ99" s="693">
        <f t="shared" si="33"/>
        <v>589073639</v>
      </c>
      <c r="BK99" s="694">
        <f>+SUM(BG100:BG102)-BG99</f>
        <v>0</v>
      </c>
      <c r="BL99" s="695">
        <f>+BG99-B99</f>
        <v>0</v>
      </c>
    </row>
    <row r="100" spans="1:64" ht="45.75" customHeight="1" x14ac:dyDescent="0.25">
      <c r="A100" s="698" t="s">
        <v>2260</v>
      </c>
      <c r="B100" s="933">
        <f>+[10]InfMesPptoCDP.rpt!$P$586</f>
        <v>822307786</v>
      </c>
      <c r="C100" s="699">
        <f>822307786/3</f>
        <v>274102595.33333331</v>
      </c>
      <c r="D100" s="699">
        <f t="shared" ref="D100:E102" si="50">598245559/3</f>
        <v>199415186.33333334</v>
      </c>
      <c r="E100" s="699">
        <f t="shared" si="50"/>
        <v>199415186.33333334</v>
      </c>
      <c r="F100" s="699">
        <f>589073639/3</f>
        <v>196357879.66666666</v>
      </c>
      <c r="G100" s="700">
        <v>0</v>
      </c>
      <c r="H100" s="700">
        <v>0</v>
      </c>
      <c r="I100" s="700">
        <v>0</v>
      </c>
      <c r="J100" s="700">
        <v>0</v>
      </c>
      <c r="K100" s="700">
        <v>0</v>
      </c>
      <c r="L100" s="700">
        <v>0</v>
      </c>
      <c r="M100" s="700">
        <v>0</v>
      </c>
      <c r="N100" s="700">
        <v>0</v>
      </c>
      <c r="O100" s="700">
        <v>0</v>
      </c>
      <c r="P100" s="700">
        <v>0</v>
      </c>
      <c r="Q100" s="700">
        <v>0</v>
      </c>
      <c r="R100" s="700">
        <v>0</v>
      </c>
      <c r="S100" s="700">
        <v>0</v>
      </c>
      <c r="T100" s="700">
        <v>0</v>
      </c>
      <c r="U100" s="700">
        <v>0</v>
      </c>
      <c r="V100" s="700">
        <v>0</v>
      </c>
      <c r="W100" s="700">
        <v>0</v>
      </c>
      <c r="X100" s="700">
        <v>0</v>
      </c>
      <c r="Y100" s="700">
        <v>0</v>
      </c>
      <c r="Z100" s="700">
        <v>0</v>
      </c>
      <c r="AA100" s="700">
        <v>0</v>
      </c>
      <c r="AB100" s="700">
        <v>0</v>
      </c>
      <c r="AC100" s="700">
        <v>0</v>
      </c>
      <c r="AD100" s="700">
        <v>0</v>
      </c>
      <c r="AE100" s="700">
        <v>0</v>
      </c>
      <c r="AF100" s="700">
        <v>0</v>
      </c>
      <c r="AG100" s="700">
        <v>0</v>
      </c>
      <c r="AH100" s="700">
        <v>0</v>
      </c>
      <c r="AI100" s="700">
        <v>0</v>
      </c>
      <c r="AJ100" s="700">
        <v>0</v>
      </c>
      <c r="AK100" s="700">
        <v>0</v>
      </c>
      <c r="AL100" s="700">
        <v>0</v>
      </c>
      <c r="AM100" s="700">
        <v>0</v>
      </c>
      <c r="AN100" s="700">
        <v>0</v>
      </c>
      <c r="AO100" s="700">
        <v>0</v>
      </c>
      <c r="AP100" s="700">
        <v>0</v>
      </c>
      <c r="AQ100" s="700">
        <v>0</v>
      </c>
      <c r="AR100" s="700">
        <v>0</v>
      </c>
      <c r="AS100" s="700">
        <v>0</v>
      </c>
      <c r="AT100" s="700">
        <v>0</v>
      </c>
      <c r="AU100" s="700">
        <v>0</v>
      </c>
      <c r="AV100" s="700">
        <v>0</v>
      </c>
      <c r="AW100" s="700">
        <v>0</v>
      </c>
      <c r="AX100" s="700">
        <v>0</v>
      </c>
      <c r="AY100" s="700">
        <v>0</v>
      </c>
      <c r="AZ100" s="700">
        <v>0</v>
      </c>
      <c r="BA100" s="700">
        <v>0</v>
      </c>
      <c r="BB100" s="700">
        <v>0</v>
      </c>
      <c r="BC100" s="700">
        <v>0</v>
      </c>
      <c r="BD100" s="700">
        <v>0</v>
      </c>
      <c r="BE100" s="700">
        <v>0</v>
      </c>
      <c r="BF100" s="700">
        <v>0</v>
      </c>
      <c r="BG100" s="699">
        <f t="shared" si="33"/>
        <v>274102595.33333331</v>
      </c>
      <c r="BH100" s="699">
        <f t="shared" si="33"/>
        <v>199415186.33333334</v>
      </c>
      <c r="BI100" s="699">
        <f t="shared" si="33"/>
        <v>199415186.33333334</v>
      </c>
      <c r="BJ100" s="699">
        <f t="shared" si="33"/>
        <v>196357879.66666666</v>
      </c>
      <c r="BK100" s="690"/>
    </row>
    <row r="101" spans="1:64" ht="45.75" customHeight="1" x14ac:dyDescent="0.25">
      <c r="A101" s="698" t="s">
        <v>2261</v>
      </c>
      <c r="B101" s="934"/>
      <c r="C101" s="699">
        <f>822307786/3</f>
        <v>274102595.33333331</v>
      </c>
      <c r="D101" s="699">
        <f t="shared" si="50"/>
        <v>199415186.33333334</v>
      </c>
      <c r="E101" s="699">
        <f t="shared" si="50"/>
        <v>199415186.33333334</v>
      </c>
      <c r="F101" s="699">
        <f>589073639/3</f>
        <v>196357879.66666666</v>
      </c>
      <c r="G101" s="700">
        <v>0</v>
      </c>
      <c r="H101" s="700">
        <v>0</v>
      </c>
      <c r="I101" s="700">
        <v>0</v>
      </c>
      <c r="J101" s="700">
        <v>0</v>
      </c>
      <c r="K101" s="700">
        <v>0</v>
      </c>
      <c r="L101" s="700">
        <v>0</v>
      </c>
      <c r="M101" s="700">
        <v>0</v>
      </c>
      <c r="N101" s="700">
        <v>0</v>
      </c>
      <c r="O101" s="700">
        <v>0</v>
      </c>
      <c r="P101" s="700">
        <v>0</v>
      </c>
      <c r="Q101" s="700">
        <v>0</v>
      </c>
      <c r="R101" s="700">
        <v>0</v>
      </c>
      <c r="S101" s="700">
        <v>0</v>
      </c>
      <c r="T101" s="700">
        <v>0</v>
      </c>
      <c r="U101" s="700">
        <v>0</v>
      </c>
      <c r="V101" s="700">
        <v>0</v>
      </c>
      <c r="W101" s="700">
        <v>0</v>
      </c>
      <c r="X101" s="700">
        <v>0</v>
      </c>
      <c r="Y101" s="700">
        <v>0</v>
      </c>
      <c r="Z101" s="700">
        <v>0</v>
      </c>
      <c r="AA101" s="700">
        <v>0</v>
      </c>
      <c r="AB101" s="700">
        <v>0</v>
      </c>
      <c r="AC101" s="700">
        <v>0</v>
      </c>
      <c r="AD101" s="700">
        <v>0</v>
      </c>
      <c r="AE101" s="700">
        <v>0</v>
      </c>
      <c r="AF101" s="700">
        <v>0</v>
      </c>
      <c r="AG101" s="700">
        <v>0</v>
      </c>
      <c r="AH101" s="700">
        <v>0</v>
      </c>
      <c r="AI101" s="700">
        <v>0</v>
      </c>
      <c r="AJ101" s="700">
        <v>0</v>
      </c>
      <c r="AK101" s="700">
        <v>0</v>
      </c>
      <c r="AL101" s="700">
        <v>0</v>
      </c>
      <c r="AM101" s="700">
        <v>0</v>
      </c>
      <c r="AN101" s="700">
        <v>0</v>
      </c>
      <c r="AO101" s="700">
        <v>0</v>
      </c>
      <c r="AP101" s="700">
        <v>0</v>
      </c>
      <c r="AQ101" s="700">
        <v>0</v>
      </c>
      <c r="AR101" s="700">
        <v>0</v>
      </c>
      <c r="AS101" s="700">
        <v>0</v>
      </c>
      <c r="AT101" s="700">
        <v>0</v>
      </c>
      <c r="AU101" s="700">
        <v>0</v>
      </c>
      <c r="AV101" s="700">
        <v>0</v>
      </c>
      <c r="AW101" s="700">
        <v>0</v>
      </c>
      <c r="AX101" s="700">
        <v>0</v>
      </c>
      <c r="AY101" s="700">
        <v>0</v>
      </c>
      <c r="AZ101" s="700">
        <v>0</v>
      </c>
      <c r="BA101" s="700">
        <v>0</v>
      </c>
      <c r="BB101" s="700">
        <v>0</v>
      </c>
      <c r="BC101" s="700">
        <v>0</v>
      </c>
      <c r="BD101" s="700">
        <v>0</v>
      </c>
      <c r="BE101" s="700">
        <v>0</v>
      </c>
      <c r="BF101" s="700">
        <v>0</v>
      </c>
      <c r="BG101" s="699">
        <f t="shared" si="33"/>
        <v>274102595.33333331</v>
      </c>
      <c r="BH101" s="699">
        <f t="shared" si="33"/>
        <v>199415186.33333334</v>
      </c>
      <c r="BI101" s="699">
        <f t="shared" si="33"/>
        <v>199415186.33333334</v>
      </c>
      <c r="BJ101" s="699">
        <f t="shared" si="33"/>
        <v>196357879.66666666</v>
      </c>
      <c r="BK101" s="690"/>
    </row>
    <row r="102" spans="1:64" ht="45.75" customHeight="1" x14ac:dyDescent="0.25">
      <c r="A102" s="698" t="s">
        <v>2262</v>
      </c>
      <c r="B102" s="935"/>
      <c r="C102" s="699">
        <f>822307786/3</f>
        <v>274102595.33333331</v>
      </c>
      <c r="D102" s="699">
        <f t="shared" si="50"/>
        <v>199415186.33333334</v>
      </c>
      <c r="E102" s="699">
        <f t="shared" si="50"/>
        <v>199415186.33333334</v>
      </c>
      <c r="F102" s="699">
        <f>589073639/3</f>
        <v>196357879.66666666</v>
      </c>
      <c r="G102" s="700">
        <v>0</v>
      </c>
      <c r="H102" s="700">
        <v>0</v>
      </c>
      <c r="I102" s="700">
        <v>0</v>
      </c>
      <c r="J102" s="700">
        <v>0</v>
      </c>
      <c r="K102" s="700">
        <v>0</v>
      </c>
      <c r="L102" s="700">
        <v>0</v>
      </c>
      <c r="M102" s="700">
        <v>0</v>
      </c>
      <c r="N102" s="700">
        <v>0</v>
      </c>
      <c r="O102" s="700">
        <v>0</v>
      </c>
      <c r="P102" s="700">
        <v>0</v>
      </c>
      <c r="Q102" s="700">
        <v>0</v>
      </c>
      <c r="R102" s="700">
        <v>0</v>
      </c>
      <c r="S102" s="700">
        <v>0</v>
      </c>
      <c r="T102" s="700">
        <v>0</v>
      </c>
      <c r="U102" s="700">
        <v>0</v>
      </c>
      <c r="V102" s="700">
        <v>0</v>
      </c>
      <c r="W102" s="700">
        <v>0</v>
      </c>
      <c r="X102" s="700">
        <v>0</v>
      </c>
      <c r="Y102" s="700">
        <v>0</v>
      </c>
      <c r="Z102" s="700">
        <v>0</v>
      </c>
      <c r="AA102" s="700">
        <v>0</v>
      </c>
      <c r="AB102" s="700">
        <v>0</v>
      </c>
      <c r="AC102" s="700">
        <v>0</v>
      </c>
      <c r="AD102" s="700">
        <v>0</v>
      </c>
      <c r="AE102" s="700">
        <v>0</v>
      </c>
      <c r="AF102" s="700">
        <v>0</v>
      </c>
      <c r="AG102" s="700">
        <v>0</v>
      </c>
      <c r="AH102" s="700">
        <v>0</v>
      </c>
      <c r="AI102" s="700">
        <v>0</v>
      </c>
      <c r="AJ102" s="700">
        <v>0</v>
      </c>
      <c r="AK102" s="700">
        <v>0</v>
      </c>
      <c r="AL102" s="700">
        <v>0</v>
      </c>
      <c r="AM102" s="700">
        <v>0</v>
      </c>
      <c r="AN102" s="700">
        <v>0</v>
      </c>
      <c r="AO102" s="700">
        <v>0</v>
      </c>
      <c r="AP102" s="700">
        <v>0</v>
      </c>
      <c r="AQ102" s="700">
        <v>0</v>
      </c>
      <c r="AR102" s="700">
        <v>0</v>
      </c>
      <c r="AS102" s="700">
        <v>0</v>
      </c>
      <c r="AT102" s="700">
        <v>0</v>
      </c>
      <c r="AU102" s="700">
        <v>0</v>
      </c>
      <c r="AV102" s="700">
        <v>0</v>
      </c>
      <c r="AW102" s="700">
        <v>0</v>
      </c>
      <c r="AX102" s="700">
        <v>0</v>
      </c>
      <c r="AY102" s="700">
        <v>0</v>
      </c>
      <c r="AZ102" s="700">
        <v>0</v>
      </c>
      <c r="BA102" s="700">
        <v>0</v>
      </c>
      <c r="BB102" s="700">
        <v>0</v>
      </c>
      <c r="BC102" s="700">
        <v>0</v>
      </c>
      <c r="BD102" s="700">
        <v>0</v>
      </c>
      <c r="BE102" s="700">
        <v>0</v>
      </c>
      <c r="BF102" s="700">
        <v>0</v>
      </c>
      <c r="BG102" s="699">
        <f t="shared" si="33"/>
        <v>274102595.33333331</v>
      </c>
      <c r="BH102" s="699">
        <f t="shared" si="33"/>
        <v>199415186.33333334</v>
      </c>
      <c r="BI102" s="699">
        <f t="shared" si="33"/>
        <v>199415186.33333334</v>
      </c>
      <c r="BJ102" s="699">
        <f t="shared" si="33"/>
        <v>196357879.66666666</v>
      </c>
      <c r="BK102" s="701">
        <f>+SUM(BG100:BG102)-B100</f>
        <v>0</v>
      </c>
    </row>
    <row r="103" spans="1:64" ht="45.75" customHeight="1" x14ac:dyDescent="0.25">
      <c r="A103" s="710" t="s">
        <v>2263</v>
      </c>
      <c r="B103" s="711">
        <f>+B3+B22+B51+B66</f>
        <v>100248800161.62</v>
      </c>
      <c r="C103" s="711">
        <f t="shared" ref="C103:BF103" si="51">+C3+C22+C51+C66</f>
        <v>13398171153</v>
      </c>
      <c r="D103" s="711">
        <f t="shared" si="51"/>
        <v>12503885787.869999</v>
      </c>
      <c r="E103" s="711">
        <f t="shared" si="51"/>
        <v>12250260282.59</v>
      </c>
      <c r="F103" s="711">
        <f t="shared" si="51"/>
        <v>10620176582.769999</v>
      </c>
      <c r="G103" s="689">
        <f t="shared" si="51"/>
        <v>800000000</v>
      </c>
      <c r="H103" s="689">
        <f t="shared" si="51"/>
        <v>624652678</v>
      </c>
      <c r="I103" s="689">
        <f t="shared" si="51"/>
        <v>624652678</v>
      </c>
      <c r="J103" s="689">
        <f t="shared" si="51"/>
        <v>622591390</v>
      </c>
      <c r="K103" s="711">
        <f t="shared" si="51"/>
        <v>166034934.56</v>
      </c>
      <c r="L103" s="711">
        <f t="shared" si="51"/>
        <v>116785881</v>
      </c>
      <c r="M103" s="711">
        <f t="shared" si="51"/>
        <v>116785881</v>
      </c>
      <c r="N103" s="711">
        <f t="shared" si="51"/>
        <v>114647913</v>
      </c>
      <c r="O103" s="689">
        <f t="shared" si="51"/>
        <v>960701165.9000001</v>
      </c>
      <c r="P103" s="689">
        <f t="shared" si="51"/>
        <v>960701165.9000001</v>
      </c>
      <c r="Q103" s="689">
        <f t="shared" si="51"/>
        <v>110701165.90000001</v>
      </c>
      <c r="R103" s="689">
        <f t="shared" si="51"/>
        <v>110701165.90000001</v>
      </c>
      <c r="S103" s="689">
        <f t="shared" si="51"/>
        <v>567855028.44000018</v>
      </c>
      <c r="T103" s="689">
        <f t="shared" si="51"/>
        <v>538903437.43999982</v>
      </c>
      <c r="U103" s="689">
        <f t="shared" si="51"/>
        <v>538903437.43999982</v>
      </c>
      <c r="V103" s="689">
        <f t="shared" si="51"/>
        <v>538903437.43999982</v>
      </c>
      <c r="W103" s="689">
        <f t="shared" si="51"/>
        <v>79481523474.099991</v>
      </c>
      <c r="X103" s="689">
        <f t="shared" si="51"/>
        <v>79420471655.019989</v>
      </c>
      <c r="Y103" s="689">
        <f t="shared" si="51"/>
        <v>49425935422.029999</v>
      </c>
      <c r="Z103" s="689">
        <f t="shared" si="51"/>
        <v>49425935422.029999</v>
      </c>
      <c r="AA103" s="689">
        <f t="shared" si="51"/>
        <v>1039999999.9999994</v>
      </c>
      <c r="AB103" s="689">
        <f t="shared" si="51"/>
        <v>284870146</v>
      </c>
      <c r="AC103" s="689">
        <f t="shared" si="51"/>
        <v>284870146</v>
      </c>
      <c r="AD103" s="689">
        <f t="shared" si="51"/>
        <v>284870146</v>
      </c>
      <c r="AE103" s="711">
        <f t="shared" si="51"/>
        <v>450731033.30000001</v>
      </c>
      <c r="AF103" s="711">
        <f t="shared" si="51"/>
        <v>374519253</v>
      </c>
      <c r="AG103" s="711">
        <f t="shared" si="51"/>
        <v>97468249</v>
      </c>
      <c r="AH103" s="711">
        <f t="shared" si="51"/>
        <v>82468249</v>
      </c>
      <c r="AI103" s="689">
        <f t="shared" si="51"/>
        <v>0</v>
      </c>
      <c r="AJ103" s="689">
        <f t="shared" si="51"/>
        <v>0</v>
      </c>
      <c r="AK103" s="689">
        <f t="shared" si="51"/>
        <v>0</v>
      </c>
      <c r="AL103" s="689">
        <f t="shared" si="51"/>
        <v>0</v>
      </c>
      <c r="AM103" s="689">
        <f t="shared" si="51"/>
        <v>2793648556</v>
      </c>
      <c r="AN103" s="689">
        <f t="shared" si="51"/>
        <v>2793076754</v>
      </c>
      <c r="AO103" s="689">
        <f t="shared" si="51"/>
        <v>0</v>
      </c>
      <c r="AP103" s="689">
        <f t="shared" si="51"/>
        <v>0</v>
      </c>
      <c r="AQ103" s="689">
        <f t="shared" si="51"/>
        <v>0</v>
      </c>
      <c r="AR103" s="689">
        <f t="shared" si="51"/>
        <v>0</v>
      </c>
      <c r="AS103" s="689">
        <f t="shared" si="51"/>
        <v>0</v>
      </c>
      <c r="AT103" s="689">
        <f t="shared" si="51"/>
        <v>0</v>
      </c>
      <c r="AU103" s="689">
        <f t="shared" si="51"/>
        <v>0</v>
      </c>
      <c r="AV103" s="689">
        <f t="shared" si="51"/>
        <v>0</v>
      </c>
      <c r="AW103" s="689">
        <f t="shared" si="51"/>
        <v>0</v>
      </c>
      <c r="AX103" s="689">
        <f t="shared" si="51"/>
        <v>0</v>
      </c>
      <c r="AY103" s="689">
        <f t="shared" si="51"/>
        <v>410134816.31999999</v>
      </c>
      <c r="AZ103" s="689">
        <f t="shared" si="51"/>
        <v>409193180</v>
      </c>
      <c r="BA103" s="689">
        <f t="shared" si="51"/>
        <v>409193180</v>
      </c>
      <c r="BB103" s="689">
        <f t="shared" si="51"/>
        <v>409193180</v>
      </c>
      <c r="BC103" s="689">
        <f t="shared" si="51"/>
        <v>180000000</v>
      </c>
      <c r="BD103" s="689">
        <f t="shared" si="51"/>
        <v>180000000</v>
      </c>
      <c r="BE103" s="689">
        <f t="shared" si="51"/>
        <v>180000000</v>
      </c>
      <c r="BF103" s="689">
        <f t="shared" si="51"/>
        <v>177948611</v>
      </c>
      <c r="BG103" s="689">
        <f t="shared" ref="BG103:BJ103" si="52">+C103+G103+K103+O103+S103+W103+AA103+AE103+AI103+AM103+AQ103+AU103+AY103+BC103</f>
        <v>100248800161.62</v>
      </c>
      <c r="BH103" s="689">
        <f t="shared" si="52"/>
        <v>98207059938.22998</v>
      </c>
      <c r="BI103" s="689">
        <f t="shared" si="52"/>
        <v>64038770441.959999</v>
      </c>
      <c r="BJ103" s="689">
        <f t="shared" si="52"/>
        <v>62387436097.139999</v>
      </c>
      <c r="BK103" s="712">
        <f>+SUM(BG103-B103)</f>
        <v>0</v>
      </c>
    </row>
    <row r="104" spans="1:64" ht="45.75" customHeight="1" x14ac:dyDescent="0.25">
      <c r="A104" s="713"/>
      <c r="B104" s="714"/>
      <c r="C104" s="714"/>
      <c r="D104" s="714"/>
      <c r="E104" s="714"/>
      <c r="F104" s="714"/>
      <c r="G104" s="714"/>
      <c r="H104" s="714"/>
      <c r="I104" s="714"/>
      <c r="J104" s="714"/>
      <c r="K104" s="714"/>
      <c r="L104" s="714"/>
      <c r="M104" s="714"/>
      <c r="N104" s="714"/>
      <c r="O104" s="714"/>
      <c r="P104" s="714"/>
      <c r="Q104" s="714"/>
      <c r="R104" s="714"/>
      <c r="S104" s="714"/>
      <c r="T104" s="714"/>
      <c r="U104" s="714"/>
      <c r="V104" s="714"/>
      <c r="W104" s="714"/>
      <c r="X104" s="714"/>
      <c r="Y104" s="714"/>
      <c r="Z104" s="714"/>
      <c r="AA104" s="714"/>
      <c r="AB104" s="714"/>
      <c r="AC104" s="714"/>
      <c r="AD104" s="714"/>
      <c r="AE104" s="714"/>
      <c r="AF104" s="714"/>
      <c r="AG104" s="714"/>
      <c r="AH104" s="714"/>
      <c r="AI104" s="714"/>
      <c r="AJ104" s="714"/>
      <c r="AK104" s="714"/>
      <c r="AL104" s="714"/>
      <c r="AM104" s="714"/>
      <c r="AN104" s="714"/>
      <c r="AO104" s="714"/>
      <c r="AP104" s="714"/>
      <c r="AQ104" s="714"/>
      <c r="AR104" s="714"/>
      <c r="AS104" s="714"/>
      <c r="AT104" s="714"/>
      <c r="AU104" s="714"/>
      <c r="AV104" s="714"/>
      <c r="AW104" s="714"/>
      <c r="AX104" s="714"/>
      <c r="AY104" s="714"/>
      <c r="AZ104" s="714"/>
      <c r="BA104" s="714"/>
      <c r="BB104" s="714"/>
      <c r="BC104" s="714"/>
      <c r="BD104" s="714"/>
      <c r="BE104" s="714"/>
      <c r="BF104" s="714"/>
      <c r="BG104" s="714"/>
      <c r="BH104" s="714"/>
      <c r="BI104" s="714"/>
      <c r="BJ104" s="714"/>
      <c r="BK104" s="715"/>
    </row>
    <row r="105" spans="1:64" ht="46.5" customHeight="1" x14ac:dyDescent="0.25">
      <c r="A105" s="821"/>
      <c r="B105" s="821"/>
      <c r="C105" s="822"/>
      <c r="D105" s="822"/>
      <c r="E105" s="822"/>
      <c r="F105" s="822"/>
      <c r="G105" s="822"/>
      <c r="H105" s="822"/>
      <c r="I105" s="822"/>
      <c r="J105" s="822"/>
      <c r="K105" s="822"/>
      <c r="L105" s="822"/>
      <c r="M105" s="822"/>
      <c r="N105" s="822"/>
      <c r="O105" s="823"/>
      <c r="P105" s="823"/>
      <c r="Q105" s="822"/>
      <c r="R105" s="823"/>
      <c r="S105" s="823"/>
      <c r="T105" s="823"/>
      <c r="U105" s="822"/>
      <c r="V105" s="822"/>
      <c r="W105" s="822"/>
      <c r="X105" s="824"/>
      <c r="Y105" s="824"/>
      <c r="Z105" s="824"/>
      <c r="AA105" s="822"/>
      <c r="AB105" s="822"/>
      <c r="AC105" s="822"/>
      <c r="AD105" s="822"/>
      <c r="AE105" s="822"/>
      <c r="AF105" s="822"/>
      <c r="AG105" s="822"/>
      <c r="AH105" s="822"/>
      <c r="AI105" s="822"/>
      <c r="AJ105" s="822"/>
      <c r="AK105" s="822"/>
      <c r="AL105" s="822"/>
      <c r="AM105" s="822"/>
      <c r="AN105" s="822"/>
      <c r="AO105" s="822"/>
      <c r="AP105" s="822"/>
      <c r="AQ105" s="822"/>
      <c r="AR105" s="822"/>
      <c r="AS105" s="822"/>
      <c r="AT105" s="822"/>
      <c r="AU105" s="821"/>
      <c r="AV105" s="821"/>
      <c r="AW105" s="821"/>
      <c r="AX105" s="821"/>
      <c r="AY105" s="822"/>
      <c r="AZ105" s="822"/>
      <c r="BA105" s="822"/>
      <c r="BB105" s="822"/>
      <c r="BC105" s="822"/>
      <c r="BD105" s="822"/>
      <c r="BE105" s="822"/>
      <c r="BF105" s="822"/>
      <c r="BG105" s="825"/>
      <c r="BH105" s="825"/>
      <c r="BI105" s="825"/>
      <c r="BJ105" s="825"/>
      <c r="BK105" s="826"/>
    </row>
    <row r="106" spans="1:64" ht="46.5" customHeight="1" x14ac:dyDescent="0.25">
      <c r="A106" s="826"/>
      <c r="B106" s="821"/>
      <c r="C106" s="822"/>
      <c r="D106" s="822"/>
      <c r="E106" s="822"/>
      <c r="F106" s="822"/>
      <c r="G106" s="822"/>
      <c r="H106" s="822"/>
      <c r="I106" s="822"/>
      <c r="J106" s="822"/>
      <c r="K106" s="822"/>
      <c r="L106" s="822"/>
      <c r="M106" s="822"/>
      <c r="N106" s="822"/>
      <c r="O106" s="822"/>
      <c r="P106" s="822"/>
      <c r="Q106" s="822"/>
      <c r="R106" s="822"/>
      <c r="S106" s="822"/>
      <c r="T106" s="822"/>
      <c r="U106" s="822"/>
      <c r="V106" s="822"/>
      <c r="W106" s="822"/>
      <c r="X106" s="822"/>
      <c r="Y106" s="822"/>
      <c r="Z106" s="822"/>
      <c r="AA106" s="822"/>
      <c r="AB106" s="822"/>
      <c r="AC106" s="822"/>
      <c r="AD106" s="822"/>
      <c r="AE106" s="822"/>
      <c r="AF106" s="822"/>
      <c r="AG106" s="822"/>
      <c r="AH106" s="822"/>
      <c r="AI106" s="822"/>
      <c r="AJ106" s="822"/>
      <c r="AK106" s="822"/>
      <c r="AL106" s="822"/>
      <c r="AM106" s="822"/>
      <c r="AN106" s="822"/>
      <c r="AO106" s="822"/>
      <c r="AP106" s="822"/>
      <c r="AQ106" s="822"/>
      <c r="AR106" s="822"/>
      <c r="AS106" s="822"/>
      <c r="AT106" s="822"/>
      <c r="AU106" s="822"/>
      <c r="AV106" s="822"/>
      <c r="AW106" s="822"/>
      <c r="AX106" s="822"/>
      <c r="AY106" s="822"/>
      <c r="AZ106" s="822"/>
      <c r="BA106" s="822"/>
      <c r="BB106" s="822"/>
      <c r="BC106" s="822"/>
      <c r="BD106" s="822"/>
      <c r="BE106" s="822"/>
      <c r="BF106" s="822"/>
      <c r="BG106" s="826"/>
      <c r="BH106" s="826"/>
      <c r="BI106" s="826"/>
      <c r="BJ106" s="826"/>
      <c r="BK106" s="826"/>
    </row>
    <row r="107" spans="1:64" ht="46.5" customHeight="1" x14ac:dyDescent="0.25">
      <c r="A107" s="826"/>
      <c r="B107" s="822"/>
      <c r="C107" s="822"/>
      <c r="D107" s="822"/>
      <c r="E107" s="822"/>
      <c r="F107" s="822"/>
      <c r="G107" s="822"/>
      <c r="H107" s="822"/>
      <c r="I107" s="822"/>
      <c r="J107" s="822"/>
      <c r="K107" s="822"/>
      <c r="L107" s="822"/>
      <c r="M107" s="822"/>
      <c r="N107" s="822"/>
      <c r="O107" s="822"/>
      <c r="P107" s="822"/>
      <c r="Q107" s="822"/>
      <c r="R107" s="822"/>
      <c r="S107" s="822"/>
      <c r="T107" s="822"/>
      <c r="U107" s="822"/>
      <c r="V107" s="822"/>
      <c r="W107" s="822"/>
      <c r="X107" s="822"/>
      <c r="Y107" s="822"/>
      <c r="Z107" s="822"/>
      <c r="AA107" s="822"/>
      <c r="AB107" s="822"/>
      <c r="AC107" s="822"/>
      <c r="AD107" s="822"/>
      <c r="AE107" s="822"/>
      <c r="AF107" s="822"/>
      <c r="AG107" s="822"/>
      <c r="AH107" s="822"/>
      <c r="AI107" s="822"/>
      <c r="AJ107" s="822"/>
      <c r="AK107" s="822"/>
      <c r="AL107" s="822"/>
      <c r="AM107" s="822"/>
      <c r="AN107" s="822"/>
      <c r="AO107" s="822"/>
      <c r="AP107" s="822"/>
      <c r="AQ107" s="822"/>
      <c r="AR107" s="822"/>
      <c r="AS107" s="822"/>
      <c r="AT107" s="822"/>
      <c r="AU107" s="822"/>
      <c r="AV107" s="822"/>
      <c r="AW107" s="822"/>
      <c r="AX107" s="822"/>
      <c r="AY107" s="822"/>
      <c r="AZ107" s="822"/>
      <c r="BA107" s="822"/>
      <c r="BB107" s="822"/>
      <c r="BC107" s="822"/>
      <c r="BD107" s="822"/>
      <c r="BE107" s="822"/>
      <c r="BF107" s="822"/>
      <c r="BG107" s="827"/>
      <c r="BH107" s="827"/>
      <c r="BI107" s="827"/>
      <c r="BJ107" s="827"/>
      <c r="BK107" s="826"/>
    </row>
    <row r="108" spans="1:64" ht="46.5" customHeight="1" x14ac:dyDescent="0.25">
      <c r="A108" s="826"/>
      <c r="B108" s="822"/>
      <c r="C108" s="822"/>
      <c r="D108" s="822"/>
      <c r="E108" s="822"/>
      <c r="F108" s="822"/>
      <c r="G108" s="822"/>
      <c r="H108" s="822"/>
      <c r="I108" s="822"/>
      <c r="J108" s="822"/>
      <c r="K108" s="822"/>
      <c r="L108" s="822"/>
      <c r="M108" s="822"/>
      <c r="N108" s="822"/>
      <c r="O108" s="822"/>
      <c r="P108" s="822"/>
      <c r="Q108" s="822"/>
      <c r="R108" s="822"/>
      <c r="S108" s="822"/>
      <c r="T108" s="822"/>
      <c r="U108" s="822"/>
      <c r="V108" s="822"/>
      <c r="W108" s="822"/>
      <c r="X108" s="822"/>
      <c r="Y108" s="822"/>
      <c r="Z108" s="822"/>
      <c r="AA108" s="822"/>
      <c r="AB108" s="822"/>
      <c r="AC108" s="822"/>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2"/>
      <c r="AY108" s="822"/>
      <c r="AZ108" s="822"/>
      <c r="BA108" s="822"/>
      <c r="BB108" s="822"/>
      <c r="BC108" s="822"/>
      <c r="BD108" s="822"/>
      <c r="BE108" s="822"/>
      <c r="BF108" s="822"/>
      <c r="BG108" s="827"/>
      <c r="BH108" s="827"/>
      <c r="BI108" s="827"/>
      <c r="BJ108" s="827"/>
      <c r="BK108" s="826"/>
    </row>
    <row r="109" spans="1:64" ht="46.5" customHeight="1" x14ac:dyDescent="0.25">
      <c r="A109" s="826"/>
      <c r="B109" s="822"/>
      <c r="C109" s="822"/>
      <c r="D109" s="822"/>
      <c r="E109" s="822"/>
      <c r="F109" s="822"/>
      <c r="G109" s="822"/>
      <c r="H109" s="822"/>
      <c r="I109" s="822"/>
      <c r="J109" s="822"/>
      <c r="K109" s="822"/>
      <c r="L109" s="822"/>
      <c r="M109" s="822"/>
      <c r="N109" s="822"/>
      <c r="O109" s="822"/>
      <c r="P109" s="822"/>
      <c r="Q109" s="822"/>
      <c r="R109" s="822"/>
      <c r="S109" s="822"/>
      <c r="T109" s="822"/>
      <c r="U109" s="822"/>
      <c r="V109" s="822"/>
      <c r="W109" s="822"/>
      <c r="X109" s="822"/>
      <c r="Y109" s="822"/>
      <c r="Z109" s="822"/>
      <c r="AA109" s="822"/>
      <c r="AB109" s="822"/>
      <c r="AC109" s="822"/>
      <c r="AD109" s="822"/>
      <c r="AE109" s="822"/>
      <c r="AF109" s="822"/>
      <c r="AG109" s="822"/>
      <c r="AH109" s="822"/>
      <c r="AI109" s="822"/>
      <c r="AJ109" s="822"/>
      <c r="AK109" s="822"/>
      <c r="AL109" s="822"/>
      <c r="AM109" s="822"/>
      <c r="AN109" s="822"/>
      <c r="AO109" s="822"/>
      <c r="AP109" s="822"/>
      <c r="AQ109" s="822"/>
      <c r="AR109" s="822"/>
      <c r="AS109" s="822"/>
      <c r="AT109" s="822"/>
      <c r="AU109" s="822"/>
      <c r="AV109" s="822"/>
      <c r="AW109" s="822"/>
      <c r="AX109" s="822"/>
      <c r="AY109" s="822"/>
      <c r="AZ109" s="822"/>
      <c r="BA109" s="822"/>
      <c r="BB109" s="822"/>
      <c r="BC109" s="822"/>
      <c r="BD109" s="822"/>
      <c r="BE109" s="822"/>
      <c r="BF109" s="822"/>
      <c r="BG109" s="827"/>
      <c r="BH109" s="827"/>
      <c r="BI109" s="827"/>
      <c r="BJ109" s="827"/>
      <c r="BK109" s="826"/>
    </row>
    <row r="110" spans="1:64" ht="46.5" customHeight="1" x14ac:dyDescent="0.25">
      <c r="A110" s="826"/>
      <c r="B110" s="828"/>
      <c r="C110" s="826"/>
      <c r="D110" s="826"/>
      <c r="E110" s="826"/>
      <c r="F110" s="826"/>
      <c r="G110" s="826"/>
      <c r="H110" s="826"/>
      <c r="I110" s="826"/>
      <c r="J110" s="826"/>
      <c r="K110" s="826"/>
      <c r="L110" s="826"/>
      <c r="M110" s="826"/>
      <c r="N110" s="826"/>
      <c r="O110" s="829"/>
      <c r="P110" s="829"/>
      <c r="Q110" s="826"/>
      <c r="R110" s="829"/>
      <c r="S110" s="830"/>
      <c r="T110" s="829"/>
      <c r="U110" s="826"/>
      <c r="V110" s="826"/>
      <c r="W110" s="826"/>
      <c r="X110" s="826"/>
      <c r="Y110" s="826"/>
      <c r="Z110" s="826"/>
      <c r="AA110" s="826"/>
      <c r="AB110" s="826"/>
      <c r="AC110" s="826"/>
      <c r="AD110" s="826"/>
      <c r="AE110" s="826"/>
      <c r="AF110" s="826"/>
      <c r="AG110" s="826"/>
      <c r="AH110" s="826"/>
      <c r="AI110" s="831"/>
      <c r="AJ110" s="826"/>
      <c r="AK110" s="826"/>
      <c r="AL110" s="826"/>
      <c r="AM110" s="826"/>
      <c r="AN110" s="826"/>
      <c r="AO110" s="826"/>
      <c r="AP110" s="826"/>
      <c r="AQ110" s="826"/>
      <c r="AR110" s="826"/>
      <c r="AS110" s="826"/>
      <c r="AT110" s="826"/>
      <c r="AU110" s="826"/>
      <c r="AV110" s="826"/>
      <c r="AW110" s="826"/>
      <c r="AX110" s="826"/>
      <c r="AY110" s="826"/>
      <c r="AZ110" s="826"/>
      <c r="BA110" s="826"/>
      <c r="BB110" s="826"/>
      <c r="BC110" s="826"/>
      <c r="BD110" s="826"/>
      <c r="BE110" s="826"/>
      <c r="BF110" s="826"/>
      <c r="BG110" s="822"/>
      <c r="BH110" s="822"/>
      <c r="BI110" s="822"/>
      <c r="BJ110" s="822"/>
      <c r="BK110" s="826"/>
    </row>
    <row r="111" spans="1:64" ht="46.5" customHeight="1" x14ac:dyDescent="0.25">
      <c r="A111" s="826"/>
      <c r="B111" s="826"/>
      <c r="C111" s="826"/>
      <c r="D111" s="826"/>
      <c r="E111" s="826"/>
      <c r="F111" s="826"/>
      <c r="G111" s="826"/>
      <c r="H111" s="826"/>
      <c r="I111" s="826"/>
      <c r="J111" s="826"/>
      <c r="K111" s="826"/>
      <c r="L111" s="826"/>
      <c r="M111" s="826"/>
      <c r="N111" s="826"/>
      <c r="O111" s="829"/>
      <c r="P111" s="829"/>
      <c r="Q111" s="826"/>
      <c r="R111" s="829"/>
      <c r="S111" s="829"/>
      <c r="T111" s="829"/>
      <c r="U111" s="826"/>
      <c r="V111" s="826"/>
      <c r="W111" s="826"/>
      <c r="X111" s="826"/>
      <c r="Y111" s="826"/>
      <c r="Z111" s="826"/>
      <c r="AA111" s="826"/>
      <c r="AB111" s="826"/>
      <c r="AC111" s="826"/>
      <c r="AD111" s="826"/>
      <c r="AE111" s="826"/>
      <c r="AF111" s="826"/>
      <c r="AG111" s="826"/>
      <c r="AH111" s="826"/>
      <c r="AI111" s="826"/>
      <c r="AJ111" s="826"/>
      <c r="AK111" s="826"/>
      <c r="AL111" s="826"/>
      <c r="AM111" s="826"/>
      <c r="AN111" s="826"/>
      <c r="AO111" s="826"/>
      <c r="AP111" s="826"/>
      <c r="AQ111" s="826"/>
      <c r="AR111" s="826"/>
      <c r="AS111" s="826"/>
      <c r="AT111" s="826"/>
      <c r="AU111" s="826"/>
      <c r="AV111" s="826"/>
      <c r="AW111" s="826"/>
      <c r="AX111" s="826"/>
      <c r="AY111" s="826"/>
      <c r="AZ111" s="826"/>
      <c r="BA111" s="826"/>
      <c r="BB111" s="826"/>
      <c r="BC111" s="826"/>
      <c r="BD111" s="826"/>
      <c r="BE111" s="826"/>
      <c r="BF111" s="826"/>
      <c r="BG111" s="822"/>
      <c r="BH111" s="822"/>
      <c r="BI111" s="822"/>
      <c r="BJ111" s="822"/>
      <c r="BK111" s="826"/>
    </row>
    <row r="112" spans="1:64" ht="46.5" customHeight="1" x14ac:dyDescent="0.25">
      <c r="A112" s="826"/>
      <c r="B112" s="826"/>
      <c r="C112" s="826"/>
      <c r="D112" s="826"/>
      <c r="E112" s="826"/>
      <c r="F112" s="826"/>
      <c r="G112" s="826"/>
      <c r="H112" s="826"/>
      <c r="I112" s="826"/>
      <c r="J112" s="826"/>
      <c r="K112" s="826"/>
      <c r="L112" s="826"/>
      <c r="M112" s="826"/>
      <c r="N112" s="826"/>
      <c r="O112" s="829"/>
      <c r="P112" s="829"/>
      <c r="Q112" s="826"/>
      <c r="R112" s="829"/>
      <c r="S112" s="829"/>
      <c r="T112" s="829"/>
      <c r="U112" s="826"/>
      <c r="V112" s="826"/>
      <c r="W112" s="826"/>
      <c r="X112" s="826"/>
      <c r="Y112" s="826"/>
      <c r="Z112" s="826"/>
      <c r="AA112" s="826"/>
      <c r="AB112" s="826"/>
      <c r="AC112" s="826"/>
      <c r="AD112" s="826"/>
      <c r="AE112" s="826"/>
      <c r="AF112" s="826"/>
      <c r="AG112" s="826"/>
      <c r="AH112" s="826"/>
      <c r="AI112" s="826"/>
      <c r="AJ112" s="826"/>
      <c r="AK112" s="826"/>
      <c r="AL112" s="826"/>
      <c r="AM112" s="826"/>
      <c r="AN112" s="826"/>
      <c r="AO112" s="826"/>
      <c r="AP112" s="826"/>
      <c r="AQ112" s="826"/>
      <c r="AR112" s="826"/>
      <c r="AS112" s="826"/>
      <c r="AT112" s="826"/>
      <c r="AU112" s="826"/>
      <c r="AV112" s="826"/>
      <c r="AW112" s="826"/>
      <c r="AX112" s="826"/>
      <c r="AY112" s="826"/>
      <c r="AZ112" s="826"/>
      <c r="BA112" s="826"/>
      <c r="BB112" s="826"/>
      <c r="BC112" s="826"/>
      <c r="BD112" s="826"/>
      <c r="BE112" s="826"/>
      <c r="BF112" s="826"/>
      <c r="BG112" s="822"/>
      <c r="BH112" s="826"/>
      <c r="BI112" s="826"/>
      <c r="BJ112" s="826"/>
      <c r="BK112" s="826"/>
    </row>
    <row r="113" spans="1:63" ht="46.5" customHeight="1" x14ac:dyDescent="0.25">
      <c r="A113" s="826"/>
      <c r="B113" s="826"/>
      <c r="C113" s="826"/>
      <c r="D113" s="826"/>
      <c r="E113" s="826"/>
      <c r="F113" s="826"/>
      <c r="G113" s="826"/>
      <c r="H113" s="826"/>
      <c r="I113" s="826"/>
      <c r="J113" s="826"/>
      <c r="K113" s="826"/>
      <c r="L113" s="826"/>
      <c r="M113" s="826"/>
      <c r="N113" s="826"/>
      <c r="O113" s="829"/>
      <c r="P113" s="829"/>
      <c r="Q113" s="826"/>
      <c r="R113" s="829"/>
      <c r="S113" s="829"/>
      <c r="T113" s="829"/>
      <c r="U113" s="826"/>
      <c r="V113" s="826"/>
      <c r="W113" s="826"/>
      <c r="X113" s="826"/>
      <c r="Y113" s="826"/>
      <c r="Z113" s="826"/>
      <c r="AA113" s="826"/>
      <c r="AB113" s="826"/>
      <c r="AC113" s="826"/>
      <c r="AD113" s="826"/>
      <c r="AE113" s="826"/>
      <c r="AF113" s="826"/>
      <c r="AG113" s="826"/>
      <c r="AH113" s="826"/>
      <c r="AI113" s="826"/>
      <c r="AJ113" s="826"/>
      <c r="AK113" s="826"/>
      <c r="AL113" s="826"/>
      <c r="AM113" s="826"/>
      <c r="AN113" s="826"/>
      <c r="AO113" s="826"/>
      <c r="AP113" s="826"/>
      <c r="AQ113" s="826"/>
      <c r="AR113" s="826"/>
      <c r="AS113" s="826"/>
      <c r="AT113" s="826"/>
      <c r="AU113" s="826"/>
      <c r="AV113" s="826"/>
      <c r="AW113" s="826"/>
      <c r="AX113" s="826"/>
      <c r="AY113" s="826"/>
      <c r="AZ113" s="826"/>
      <c r="BA113" s="826"/>
      <c r="BB113" s="826"/>
      <c r="BC113" s="826"/>
      <c r="BD113" s="826"/>
      <c r="BE113" s="826"/>
      <c r="BF113" s="826"/>
      <c r="BG113" s="822"/>
      <c r="BH113" s="826"/>
      <c r="BI113" s="826"/>
      <c r="BJ113" s="826"/>
      <c r="BK113" s="826"/>
    </row>
    <row r="114" spans="1:63" ht="46.5" customHeight="1" x14ac:dyDescent="0.25">
      <c r="A114" s="826"/>
      <c r="B114" s="826"/>
      <c r="C114" s="826"/>
      <c r="D114" s="826"/>
      <c r="E114" s="826"/>
      <c r="F114" s="826"/>
      <c r="G114" s="826"/>
      <c r="H114" s="826"/>
      <c r="I114" s="826"/>
      <c r="J114" s="826"/>
      <c r="K114" s="826"/>
      <c r="L114" s="826"/>
      <c r="M114" s="826"/>
      <c r="N114" s="826"/>
      <c r="O114" s="829"/>
      <c r="P114" s="829"/>
      <c r="Q114" s="826"/>
      <c r="R114" s="829"/>
      <c r="S114" s="829"/>
      <c r="T114" s="829"/>
      <c r="U114" s="826"/>
      <c r="V114" s="826"/>
      <c r="W114" s="826"/>
      <c r="X114" s="826"/>
      <c r="Y114" s="826"/>
      <c r="Z114" s="826"/>
      <c r="AA114" s="826"/>
      <c r="AB114" s="826"/>
      <c r="AC114" s="826"/>
      <c r="AD114" s="826"/>
      <c r="AE114" s="826"/>
      <c r="AF114" s="826"/>
      <c r="AG114" s="826"/>
      <c r="AH114" s="826"/>
      <c r="AI114" s="826"/>
      <c r="AJ114" s="826"/>
      <c r="AK114" s="826"/>
      <c r="AL114" s="826"/>
      <c r="AM114" s="826"/>
      <c r="AN114" s="826"/>
      <c r="AO114" s="826"/>
      <c r="AP114" s="826"/>
      <c r="AQ114" s="826"/>
      <c r="AR114" s="826"/>
      <c r="AS114" s="826"/>
      <c r="AT114" s="826"/>
      <c r="AU114" s="826"/>
      <c r="AV114" s="826"/>
      <c r="AW114" s="826"/>
      <c r="AX114" s="826"/>
      <c r="AY114" s="826"/>
      <c r="AZ114" s="826"/>
      <c r="BA114" s="826"/>
      <c r="BB114" s="826"/>
      <c r="BC114" s="826"/>
      <c r="BD114" s="826"/>
      <c r="BE114" s="826"/>
      <c r="BF114" s="826"/>
      <c r="BG114" s="826"/>
      <c r="BH114" s="826"/>
      <c r="BI114" s="826"/>
      <c r="BJ114" s="826"/>
      <c r="BK114" s="826"/>
    </row>
    <row r="115" spans="1:63" ht="46.5" customHeight="1" x14ac:dyDescent="0.25">
      <c r="A115" s="826"/>
      <c r="B115" s="826"/>
      <c r="C115" s="826"/>
      <c r="D115" s="826"/>
      <c r="E115" s="826"/>
      <c r="F115" s="826"/>
      <c r="G115" s="826"/>
      <c r="H115" s="826"/>
      <c r="I115" s="826"/>
      <c r="J115" s="826"/>
      <c r="K115" s="826"/>
      <c r="L115" s="826"/>
      <c r="M115" s="826"/>
      <c r="N115" s="826"/>
      <c r="O115" s="829"/>
      <c r="P115" s="829"/>
      <c r="Q115" s="826"/>
      <c r="R115" s="829"/>
      <c r="S115" s="829"/>
      <c r="T115" s="829"/>
      <c r="U115" s="826"/>
      <c r="V115" s="826"/>
      <c r="W115" s="826"/>
      <c r="X115" s="826"/>
      <c r="Y115" s="826"/>
      <c r="Z115" s="826"/>
      <c r="AA115" s="826"/>
      <c r="AB115" s="826"/>
      <c r="AC115" s="826"/>
      <c r="AD115" s="826"/>
      <c r="AE115" s="826"/>
      <c r="AF115" s="826"/>
      <c r="AG115" s="826"/>
      <c r="AH115" s="826"/>
      <c r="AI115" s="826"/>
      <c r="AJ115" s="826"/>
      <c r="AK115" s="826"/>
      <c r="AL115" s="826"/>
      <c r="AM115" s="826"/>
      <c r="AN115" s="826"/>
      <c r="AO115" s="826"/>
      <c r="AP115" s="826"/>
      <c r="AQ115" s="826"/>
      <c r="AR115" s="826"/>
      <c r="AS115" s="826"/>
      <c r="AT115" s="826"/>
      <c r="AU115" s="826"/>
      <c r="AV115" s="826"/>
      <c r="AW115" s="826"/>
      <c r="AX115" s="826"/>
      <c r="AY115" s="826"/>
      <c r="AZ115" s="826"/>
      <c r="BA115" s="826"/>
      <c r="BB115" s="826"/>
      <c r="BC115" s="826"/>
      <c r="BD115" s="826"/>
      <c r="BE115" s="826"/>
      <c r="BF115" s="826"/>
      <c r="BG115" s="826"/>
      <c r="BH115" s="826"/>
      <c r="BI115" s="826"/>
      <c r="BJ115" s="826"/>
      <c r="BK115" s="826"/>
    </row>
  </sheetData>
  <mergeCells count="33">
    <mergeCell ref="B84:B93"/>
    <mergeCell ref="B95:B98"/>
    <mergeCell ref="B100:B102"/>
    <mergeCell ref="B54:B56"/>
    <mergeCell ref="B58:B62"/>
    <mergeCell ref="B64:B65"/>
    <mergeCell ref="B69:B70"/>
    <mergeCell ref="B72:B74"/>
    <mergeCell ref="B76:B82"/>
    <mergeCell ref="B48:B50"/>
    <mergeCell ref="AU1:AX1"/>
    <mergeCell ref="AY1:BB1"/>
    <mergeCell ref="BC1:BF1"/>
    <mergeCell ref="BG1:BJ1"/>
    <mergeCell ref="B10:B12"/>
    <mergeCell ref="B15:B16"/>
    <mergeCell ref="B18:B21"/>
    <mergeCell ref="B25:B38"/>
    <mergeCell ref="B43:B46"/>
    <mergeCell ref="BK1:BK2"/>
    <mergeCell ref="B6:B8"/>
    <mergeCell ref="W1:Z1"/>
    <mergeCell ref="AA1:AD1"/>
    <mergeCell ref="AE1:AH1"/>
    <mergeCell ref="AI1:AL1"/>
    <mergeCell ref="AM1:AP1"/>
    <mergeCell ref="AQ1:AT1"/>
    <mergeCell ref="S1:V1"/>
    <mergeCell ref="A1:A2"/>
    <mergeCell ref="C1:F1"/>
    <mergeCell ref="G1:J1"/>
    <mergeCell ref="K1:N1"/>
    <mergeCell ref="O1:R1"/>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7164E-1772-4C69-924E-2C74FD6F98CE}">
  <dimension ref="A1:R32"/>
  <sheetViews>
    <sheetView showGridLines="0" zoomScale="77" zoomScaleNormal="30" workbookViewId="0">
      <pane ySplit="5" topLeftCell="A6" activePane="bottomLeft" state="frozen"/>
      <selection activeCell="E29" sqref="E29"/>
      <selection pane="bottomLeft" activeCell="E30" sqref="E30"/>
    </sheetView>
  </sheetViews>
  <sheetFormatPr baseColWidth="10" defaultColWidth="11.42578125" defaultRowHeight="15" x14ac:dyDescent="0.25"/>
  <cols>
    <col min="1" max="1" width="3.5703125" style="382" bestFit="1" customWidth="1"/>
    <col min="2" max="2" width="62.42578125" style="382" customWidth="1"/>
    <col min="3" max="6" width="11.28515625" style="382" customWidth="1"/>
    <col min="7" max="7" width="3.5703125" style="382" customWidth="1"/>
    <col min="8" max="8" width="23.42578125" style="382" customWidth="1"/>
    <col min="9" max="10" width="14.42578125" style="382" customWidth="1"/>
    <col min="11" max="11" width="4.28515625" style="382" customWidth="1"/>
    <col min="12" max="12" width="15" style="382" customWidth="1"/>
    <col min="13" max="14" width="22.42578125" style="382" customWidth="1"/>
    <col min="15" max="15" width="1.85546875" style="382" customWidth="1"/>
    <col min="16" max="16384" width="11.42578125" style="382"/>
  </cols>
  <sheetData>
    <row r="1" spans="1:18" s="380" customFormat="1" ht="99" customHeight="1" thickBot="1" x14ac:dyDescent="0.3">
      <c r="A1" s="939"/>
      <c r="B1" s="940"/>
      <c r="C1" s="940"/>
      <c r="D1" s="940"/>
      <c r="E1" s="940"/>
      <c r="F1" s="940"/>
      <c r="G1" s="940"/>
      <c r="H1" s="940"/>
      <c r="I1" s="940"/>
      <c r="J1" s="940"/>
      <c r="K1" s="940"/>
      <c r="L1" s="940"/>
      <c r="M1" s="940"/>
      <c r="N1" s="940"/>
      <c r="O1" s="940"/>
      <c r="P1" s="941"/>
      <c r="Q1" s="382"/>
      <c r="R1" s="382"/>
    </row>
    <row r="2" spans="1:18" s="381" customFormat="1" ht="16.5" thickBot="1" x14ac:dyDescent="0.3">
      <c r="A2" s="947"/>
      <c r="B2" s="948"/>
      <c r="C2" s="948"/>
      <c r="D2" s="948"/>
      <c r="E2" s="948"/>
      <c r="F2" s="948"/>
      <c r="G2" s="948"/>
      <c r="H2" s="948"/>
      <c r="I2" s="948"/>
      <c r="J2" s="948"/>
      <c r="K2" s="948"/>
      <c r="L2" s="948"/>
      <c r="M2" s="948"/>
      <c r="N2" s="948"/>
      <c r="O2" s="948"/>
      <c r="P2" s="949"/>
      <c r="Q2" s="382"/>
      <c r="R2" s="382"/>
    </row>
    <row r="3" spans="1:18" s="381" customFormat="1" ht="16.5" thickBot="1" x14ac:dyDescent="0.3">
      <c r="A3" s="942" t="s">
        <v>583</v>
      </c>
      <c r="B3" s="943"/>
      <c r="C3" s="943"/>
      <c r="D3" s="943"/>
      <c r="E3" s="943"/>
      <c r="F3" s="943"/>
      <c r="G3" s="943"/>
      <c r="H3" s="943"/>
      <c r="I3" s="943"/>
      <c r="J3" s="943"/>
      <c r="K3" s="943"/>
      <c r="L3" s="943"/>
      <c r="M3" s="943"/>
      <c r="N3" s="943"/>
      <c r="O3" s="943"/>
      <c r="P3" s="944"/>
      <c r="Q3" s="382"/>
      <c r="R3" s="382"/>
    </row>
    <row r="4" spans="1:18" s="381" customFormat="1" ht="30.75" customHeight="1" thickBot="1" x14ac:dyDescent="0.3">
      <c r="A4" s="945" t="s">
        <v>584</v>
      </c>
      <c r="B4" s="946"/>
      <c r="C4" s="507"/>
      <c r="D4" s="508" t="str">
        <f>+'[5]Datos Generales'!C6</f>
        <v>2024-I</v>
      </c>
      <c r="E4" s="508"/>
      <c r="F4" s="508"/>
      <c r="G4" s="508"/>
      <c r="H4" s="508"/>
      <c r="I4" s="508"/>
      <c r="J4" s="508"/>
      <c r="K4" s="508"/>
      <c r="L4" s="509"/>
      <c r="M4" s="509"/>
      <c r="N4" s="509"/>
      <c r="O4" s="509"/>
      <c r="P4" s="510"/>
      <c r="Q4" s="382"/>
      <c r="R4" s="382"/>
    </row>
    <row r="5" spans="1:18" ht="30" customHeight="1" x14ac:dyDescent="0.25">
      <c r="A5" s="365" t="s">
        <v>585</v>
      </c>
      <c r="B5" s="365" t="s">
        <v>586</v>
      </c>
      <c r="C5" s="366" t="s">
        <v>587</v>
      </c>
      <c r="D5" s="366" t="s">
        <v>588</v>
      </c>
      <c r="E5" s="366" t="s">
        <v>589</v>
      </c>
      <c r="F5" s="366" t="s">
        <v>590</v>
      </c>
      <c r="H5" s="363" t="s">
        <v>591</v>
      </c>
      <c r="I5" s="363" t="s">
        <v>592</v>
      </c>
      <c r="J5" s="363" t="s">
        <v>593</v>
      </c>
      <c r="L5" s="364" t="s">
        <v>594</v>
      </c>
      <c r="M5" s="364" t="s">
        <v>595</v>
      </c>
      <c r="N5" s="367" t="s">
        <v>593</v>
      </c>
      <c r="O5" s="369" t="s">
        <v>596</v>
      </c>
      <c r="P5" s="368"/>
    </row>
    <row r="6" spans="1:18" ht="45" customHeight="1" x14ac:dyDescent="0.25">
      <c r="A6" s="493" t="s">
        <v>597</v>
      </c>
      <c r="B6" s="494" t="s">
        <v>1</v>
      </c>
      <c r="C6" s="500" t="str">
        <f>+'1POMCAS (2)'!G99</f>
        <v>N.A.</v>
      </c>
      <c r="D6" s="500" t="str">
        <f>+'1POMCAS (2)'!H99</f>
        <v>N.A.</v>
      </c>
      <c r="E6" s="500" t="str">
        <f>+'1POMCAS (2)'!I99</f>
        <v>N.A.</v>
      </c>
      <c r="F6" s="500" t="str">
        <f>+'1POMCAS (2)'!J99</f>
        <v>N.A.</v>
      </c>
      <c r="H6" s="495">
        <f>'1POMCAS (2)'!F10</f>
        <v>0</v>
      </c>
      <c r="I6" s="495" t="str">
        <f>+'1POMCAS (2)'!E12</f>
        <v>PROGRAMA 3 (3203) GESTIÓN INTEGRAL DEL RECURSO HÍDRICO.  Proyecto 3.1 (3203.01) Documentos de lineamientos técnicos para la gestión integral del recurso hídrico y materialización de la gobernanza en el marco de la PNGIRH, en el dpto. del Cesar.</v>
      </c>
      <c r="J6" s="495">
        <f>+'1POMCAS (2)'!E13</f>
        <v>0</v>
      </c>
      <c r="L6" s="496">
        <f t="shared" ref="L6:L32" si="0">IF(ISNUMBER(D6),"",H6)</f>
        <v>0</v>
      </c>
      <c r="M6" s="496" t="str">
        <f t="shared" ref="M6:M32" si="1">IF(ISNUMBER(I6),"",I6)</f>
        <v>PROGRAMA 3 (3203) GESTIÓN INTEGRAL DEL RECURSO HÍDRICO.  Proyecto 3.1 (3203.01) Documentos de lineamientos técnicos para la gestión integral del recurso hídrico y materialización de la gobernanza en el marco de la PNGIRH, en el dpto. del Cesar.</v>
      </c>
      <c r="N6" s="497" t="str">
        <f t="shared" ref="N6:N32" si="2">IF(ISNUMBER(J6),"",J6)</f>
        <v/>
      </c>
      <c r="O6" s="498" t="s">
        <v>596</v>
      </c>
      <c r="P6" s="499"/>
    </row>
    <row r="7" spans="1:18" ht="144" x14ac:dyDescent="0.25">
      <c r="A7" s="493" t="s">
        <v>598</v>
      </c>
      <c r="B7" s="494" t="s">
        <v>3</v>
      </c>
      <c r="C7" s="501">
        <f>+'2PORH'!E23</f>
        <v>0</v>
      </c>
      <c r="D7" s="501">
        <f>+'2PORH'!F23</f>
        <v>0</v>
      </c>
      <c r="E7" s="501">
        <f>+'2PORH'!G23</f>
        <v>0</v>
      </c>
      <c r="F7" s="501">
        <f>+'2PORH'!H23</f>
        <v>0</v>
      </c>
      <c r="H7" s="495" t="str">
        <f>+'2PORH'!F10</f>
        <v/>
      </c>
      <c r="I7" s="495" t="str">
        <f>+'2PORH'!E12</f>
        <v>PROGRAMA 3 (3203) GESTIÓN INTEGRAL DEL RECURSO HÍDRICO.  Proyecto 3.1 (3203.01) Documentos de lineamientos técnicos para la gestión integral del recurso hídrico y materialización de la gobernanza en el marco de la PNGIRH, en el dpto. del Cesar.</v>
      </c>
      <c r="J7" s="495">
        <f>+'2PORH'!E13</f>
        <v>0</v>
      </c>
      <c r="L7" s="496" t="str">
        <f t="shared" si="0"/>
        <v/>
      </c>
      <c r="M7" s="496" t="str">
        <f t="shared" si="1"/>
        <v>PROGRAMA 3 (3203) GESTIÓN INTEGRAL DEL RECURSO HÍDRICO.  Proyecto 3.1 (3203.01) Documentos de lineamientos técnicos para la gestión integral del recurso hídrico y materialización de la gobernanza en el marco de la PNGIRH, en el dpto. del Cesar.</v>
      </c>
      <c r="N7" s="497" t="str">
        <f t="shared" si="2"/>
        <v/>
      </c>
      <c r="O7" s="498" t="s">
        <v>596</v>
      </c>
      <c r="P7" s="499"/>
    </row>
    <row r="8" spans="1:18" ht="36" x14ac:dyDescent="0.25">
      <c r="A8" s="493" t="s">
        <v>599</v>
      </c>
      <c r="B8" s="503" t="s">
        <v>5</v>
      </c>
      <c r="C8" s="500">
        <f>+'3PSMV'!E22</f>
        <v>0.96</v>
      </c>
      <c r="D8" s="500" t="str">
        <f>+'3PSMV'!F22</f>
        <v>N.A.</v>
      </c>
      <c r="E8" s="500" t="str">
        <f>+'3PSMV'!G22</f>
        <v>N.A.</v>
      </c>
      <c r="F8" s="500" t="str">
        <f>+'3PSMV'!H22</f>
        <v>N.A.</v>
      </c>
      <c r="H8" s="495" t="str">
        <f>+'3PSMV'!F10</f>
        <v/>
      </c>
      <c r="I8" s="495" t="str">
        <f>+'3PSMV'!E12</f>
        <v>PROGRAMA 3 (3203) GESTIÓN INTEGRAL DEL RECURSO HÍDRICO.</v>
      </c>
      <c r="J8" s="495">
        <f>+'3PSMV'!E13</f>
        <v>0</v>
      </c>
      <c r="L8" s="496" t="str">
        <f t="shared" si="0"/>
        <v/>
      </c>
      <c r="M8" s="496" t="str">
        <f t="shared" si="1"/>
        <v>PROGRAMA 3 (3203) GESTIÓN INTEGRAL DEL RECURSO HÍDRICO.</v>
      </c>
      <c r="N8" s="497" t="str">
        <f t="shared" si="2"/>
        <v/>
      </c>
      <c r="O8" s="498" t="s">
        <v>596</v>
      </c>
      <c r="P8" s="499"/>
    </row>
    <row r="9" spans="1:18" ht="144" x14ac:dyDescent="0.25">
      <c r="A9" s="493" t="s">
        <v>600</v>
      </c>
      <c r="B9" s="503" t="s">
        <v>7</v>
      </c>
      <c r="C9" s="500">
        <f>+'4UsoAguas'!E23</f>
        <v>0</v>
      </c>
      <c r="D9" s="500">
        <f>+'4UsoAguas'!F23</f>
        <v>0</v>
      </c>
      <c r="E9" s="500">
        <f>+'4UsoAguas'!G23</f>
        <v>0</v>
      </c>
      <c r="F9" s="500">
        <f>+'4UsoAguas'!H23</f>
        <v>0</v>
      </c>
      <c r="H9" s="495" t="str">
        <f>+'4UsoAguas'!F10</f>
        <v/>
      </c>
      <c r="I9" s="495" t="str">
        <f>+'4UsoAguas'!E12</f>
        <v>PROGRAMA 3 (3203) GESTIÓN INTEGRAL DEL RECURSO HÍDRICO.  Proyecto 3.1 (3203.01) Documentos de lineamientos técnicos para la gestión integral del recurso hídrico y materialización de la gobernanza en el marco de la PNGIRH, en el dpto. del Cesar.</v>
      </c>
      <c r="J9" s="495">
        <f>+'4UsoAguas'!E13</f>
        <v>0</v>
      </c>
      <c r="L9" s="496" t="str">
        <f t="shared" si="0"/>
        <v/>
      </c>
      <c r="M9" s="496" t="str">
        <f t="shared" si="1"/>
        <v>PROGRAMA 3 (3203) GESTIÓN INTEGRAL DEL RECURSO HÍDRICO.  Proyecto 3.1 (3203.01) Documentos de lineamientos técnicos para la gestión integral del recurso hídrico y materialización de la gobernanza en el marco de la PNGIRH, en el dpto. del Cesar.</v>
      </c>
      <c r="N9" s="497" t="str">
        <f t="shared" si="2"/>
        <v/>
      </c>
      <c r="O9" s="498" t="s">
        <v>596</v>
      </c>
      <c r="P9" s="499"/>
    </row>
    <row r="10" spans="1:18" ht="144" x14ac:dyDescent="0.25">
      <c r="A10" s="493" t="s">
        <v>601</v>
      </c>
      <c r="B10" s="503" t="s">
        <v>9</v>
      </c>
      <c r="C10" s="500">
        <f>+'5PUEAA'!E22</f>
        <v>1</v>
      </c>
      <c r="D10" s="500" t="str">
        <f>+'5PUEAA'!F22</f>
        <v>N.A.</v>
      </c>
      <c r="E10" s="500" t="str">
        <f>+'5PUEAA'!G22</f>
        <v>N.A.</v>
      </c>
      <c r="F10" s="500" t="str">
        <f>+'5PUEAA'!H22</f>
        <v>N.A.</v>
      </c>
      <c r="H10" s="495" t="str">
        <f>+'5PUEAA'!F10</f>
        <v/>
      </c>
      <c r="I10" s="495" t="str">
        <f>+'5PUEAA'!E12</f>
        <v>PROGRAMA 3 (3203) GESTIÓN INTEGRAL DEL RECURSO HÍDRICO.  Proyecto 3.1 (3203.01) Documentos de lineamientos técnicos para la gestión integral del recurso hídrico y materialización de la gobernanza en el marco de la PNGIRH, en el dpto. del Cesar.</v>
      </c>
      <c r="J10" s="495">
        <f>+'5PUEAA'!E13</f>
        <v>0</v>
      </c>
      <c r="L10" s="496" t="str">
        <f t="shared" si="0"/>
        <v/>
      </c>
      <c r="M10" s="496" t="str">
        <f t="shared" si="1"/>
        <v>PROGRAMA 3 (3203) GESTIÓN INTEGRAL DEL RECURSO HÍDRICO.  Proyecto 3.1 (3203.01) Documentos de lineamientos técnicos para la gestión integral del recurso hídrico y materialización de la gobernanza en el marco de la PNGIRH, en el dpto. del Cesar.</v>
      </c>
      <c r="N10" s="497" t="str">
        <f t="shared" si="2"/>
        <v/>
      </c>
      <c r="O10" s="498" t="s">
        <v>596</v>
      </c>
      <c r="P10" s="499"/>
    </row>
    <row r="11" spans="1:18" ht="144" x14ac:dyDescent="0.25">
      <c r="A11" s="493" t="s">
        <v>602</v>
      </c>
      <c r="B11" s="494" t="s">
        <v>11</v>
      </c>
      <c r="C11" s="500">
        <f>+'6POMCASejec'!E27</f>
        <v>1</v>
      </c>
      <c r="D11" s="500" t="str">
        <f>+'6POMCASejec'!F27</f>
        <v>N.A.</v>
      </c>
      <c r="E11" s="500" t="str">
        <f>+'6POMCASejec'!G27</f>
        <v>N.A.</v>
      </c>
      <c r="F11" s="500" t="str">
        <f>+'6POMCASejec'!H27</f>
        <v>N.A.</v>
      </c>
      <c r="H11" s="495" t="str">
        <f>+'6POMCASejec'!F10</f>
        <v/>
      </c>
      <c r="I11" s="495" t="str">
        <f>+'6POMCASejec'!E12</f>
        <v>PROGRAMA 3 (3203) GESTIÓN INTEGRAL DEL RECURSO HÍDRICO.  Proyecto 3.1 (3203.01) Documentos de lineamientos técnicos para la gestión integral del recurso hídrico y materialización de la gobernanza en el marco de la PNGIRH, en el dpto. del Cesar.</v>
      </c>
      <c r="J11" s="495">
        <f>+'6POMCASejec'!E13</f>
        <v>0</v>
      </c>
      <c r="L11" s="496" t="str">
        <f t="shared" si="0"/>
        <v/>
      </c>
      <c r="M11" s="496" t="str">
        <f t="shared" si="1"/>
        <v>PROGRAMA 3 (3203) GESTIÓN INTEGRAL DEL RECURSO HÍDRICO.  Proyecto 3.1 (3203.01) Documentos de lineamientos técnicos para la gestión integral del recurso hídrico y materialización de la gobernanza en el marco de la PNGIRH, en el dpto. del Cesar.</v>
      </c>
      <c r="N11" s="497" t="str">
        <f t="shared" si="2"/>
        <v/>
      </c>
      <c r="O11" s="498" t="s">
        <v>596</v>
      </c>
      <c r="P11" s="499"/>
    </row>
    <row r="12" spans="1:18" ht="324" x14ac:dyDescent="0.25">
      <c r="A12" s="493" t="s">
        <v>603</v>
      </c>
      <c r="B12" s="494" t="s">
        <v>13</v>
      </c>
      <c r="C12" s="500">
        <f>+'7Clima'!E19</f>
        <v>0</v>
      </c>
      <c r="D12" s="500">
        <f>+'7Clima'!F19</f>
        <v>0</v>
      </c>
      <c r="E12" s="500">
        <f>+'7Clima'!G19</f>
        <v>0</v>
      </c>
      <c r="F12" s="500">
        <f>+'7Clima'!H19</f>
        <v>0</v>
      </c>
      <c r="H12" s="495" t="str">
        <f>+'7Clima'!F10</f>
        <v/>
      </c>
      <c r="I12" s="495" t="str">
        <f>+'7Clima'!E12</f>
        <v>PROGRAMA  2 (3206). GESTIÓN DEL CAMBIO CLIMÁTICO PARA UN DESARROLLO BAJO EN CARBONO Y RESILIENTE AL CLIMA, Act. 2.2.4. (3206.07) Servicio de articulación para la gestión del cambio climático en la toma de decisiones sectoriales y territoriales.
Fortalecimiento de la participación y gestión de CORPOCESAR, en el Nodo Regional de Cambio Climático -NRCC- del Caribe.
Incluye todas las acciones promovidas por el gobierno nacional, intra, e interinstitucional para incidir con consideraciones de cambio climático en los instrumentos de planeación de los sectores y territorios.</v>
      </c>
      <c r="J12" s="495">
        <f>+'7Clima'!E13</f>
        <v>0</v>
      </c>
      <c r="L12" s="496" t="str">
        <f t="shared" si="0"/>
        <v/>
      </c>
      <c r="M12" s="496" t="str">
        <f t="shared" si="1"/>
        <v>PROGRAMA  2 (3206). GESTIÓN DEL CAMBIO CLIMÁTICO PARA UN DESARROLLO BAJO EN CARBONO Y RESILIENTE AL CLIMA, Act. 2.2.4. (3206.07) Servicio de articulación para la gestión del cambio climático en la toma de decisiones sectoriales y territoriales.
Fortalecimiento de la participación y gestión de CORPOCESAR, en el Nodo Regional de Cambio Climático -NRCC- del Caribe.
Incluye todas las acciones promovidas por el gobierno nacional, intra, e interinstitucional para incidir con consideraciones de cambio climático en los instrumentos de planeación de los sectores y territorios.</v>
      </c>
      <c r="N12" s="497" t="str">
        <f t="shared" si="2"/>
        <v/>
      </c>
      <c r="O12" s="498" t="s">
        <v>596</v>
      </c>
      <c r="P12" s="499"/>
    </row>
    <row r="13" spans="1:18" ht="192" x14ac:dyDescent="0.25">
      <c r="A13" s="493" t="s">
        <v>604</v>
      </c>
      <c r="B13" s="494" t="s">
        <v>15</v>
      </c>
      <c r="C13" s="500">
        <f>+'8Suelo'!E19</f>
        <v>0</v>
      </c>
      <c r="D13" s="500">
        <f>+'8Suelo'!F19</f>
        <v>0</v>
      </c>
      <c r="E13" s="500">
        <f>+'8Suelo'!G19</f>
        <v>0</v>
      </c>
      <c r="F13" s="500">
        <f>+'8Suelo'!H19</f>
        <v>0</v>
      </c>
      <c r="H13" s="495" t="str">
        <f>+'8Suelo'!F10</f>
        <v/>
      </c>
      <c r="I13" s="495" t="str">
        <f>+'8Suelo'!E12</f>
        <v xml:space="preserve">PROGRAMA 6 (3299) FORTALECIMIENTO DE LA GESTIÓN Y DIRECCIÓN DEL SECTOR AMBIENTE Y DESARROLLO SOSTENIBLE. Proyecto 6.2 (3208.02) Fortalecimiento y optimización del programa transversal de Educación Ambiental de la Corporación, armonizado a la Política Nacional de Educación Ambiental asociados a todos los proyectos de inversión de la Corporación. </v>
      </c>
      <c r="J13" s="495">
        <f>+'8Suelo'!E13</f>
        <v>0</v>
      </c>
      <c r="L13" s="496" t="str">
        <f t="shared" si="0"/>
        <v/>
      </c>
      <c r="M13" s="496" t="str">
        <f t="shared" si="1"/>
        <v xml:space="preserve">PROGRAMA 6 (3299) FORTALECIMIENTO DE LA GESTIÓN Y DIRECCIÓN DEL SECTOR AMBIENTE Y DESARROLLO SOSTENIBLE. Proyecto 6.2 (3208.02) Fortalecimiento y optimización del programa transversal de Educación Ambiental de la Corporación, armonizado a la Política Nacional de Educación Ambiental asociados a todos los proyectos de inversión de la Corporación. </v>
      </c>
      <c r="N13" s="497" t="str">
        <f t="shared" si="2"/>
        <v/>
      </c>
      <c r="O13" s="498" t="s">
        <v>596</v>
      </c>
      <c r="P13" s="499"/>
    </row>
    <row r="14" spans="1:18" ht="192" x14ac:dyDescent="0.25">
      <c r="A14" s="493" t="s">
        <v>605</v>
      </c>
      <c r="B14" s="494" t="s">
        <v>17</v>
      </c>
      <c r="C14" s="500" t="str">
        <f>+'9RUNAP'!E96</f>
        <v>N.A.</v>
      </c>
      <c r="D14" s="500" t="str">
        <f>+'9RUNAP'!F96</f>
        <v>N.A.</v>
      </c>
      <c r="E14" s="500" t="str">
        <f>+'9RUNAP'!G96</f>
        <v>N.A.</v>
      </c>
      <c r="F14" s="500" t="str">
        <f>+'9RUNAP'!H96</f>
        <v>N.A.</v>
      </c>
      <c r="H14" s="495" t="str">
        <f>+'9RUNAP'!F11</f>
        <v/>
      </c>
      <c r="I14" s="495" t="str">
        <f>+'9RUNAP'!E13</f>
        <v>PROGRAMA 5.  3202 CONSERVACIÓN DE LA BIODIVERSIDAD Y SUS SERVICIOS ECOSISTÉMICOS Proyecto 5.3 (3202.008)Gestión del SIRAP (incluye gestión de nuevas APR)  y/o creación e implementación de otras estrategias de conservación de la biodiversidad y formulación e implementación y apoyo de PM de AP en el departamento del Cesar.</v>
      </c>
      <c r="J14" s="495">
        <f>+'9RUNAP'!E14</f>
        <v>0</v>
      </c>
      <c r="L14" s="496" t="str">
        <f t="shared" si="0"/>
        <v/>
      </c>
      <c r="M14" s="496" t="str">
        <f t="shared" si="1"/>
        <v>PROGRAMA 5.  3202 CONSERVACIÓN DE LA BIODIVERSIDAD Y SUS SERVICIOS ECOSISTÉMICOS Proyecto 5.3 (3202.008)Gestión del SIRAP (incluye gestión de nuevas APR)  y/o creación e implementación de otras estrategias de conservación de la biodiversidad y formulación e implementación y apoyo de PM de AP en el departamento del Cesar.</v>
      </c>
      <c r="N14" s="497" t="str">
        <f t="shared" si="2"/>
        <v/>
      </c>
      <c r="O14" s="498" t="s">
        <v>596</v>
      </c>
      <c r="P14" s="499"/>
    </row>
    <row r="15" spans="1:18" ht="409.5" x14ac:dyDescent="0.25">
      <c r="A15" s="493" t="s">
        <v>606</v>
      </c>
      <c r="B15" s="494" t="s">
        <v>19</v>
      </c>
      <c r="C15" s="500" t="str">
        <f>+'10Paramos'!F20</f>
        <v>N.A.</v>
      </c>
      <c r="D15" s="500">
        <f>+'10Paramos'!G20</f>
        <v>0</v>
      </c>
      <c r="E15" s="500">
        <f>+'10Paramos'!H20</f>
        <v>0</v>
      </c>
      <c r="F15" s="500">
        <f>+'10Paramos'!I20</f>
        <v>0</v>
      </c>
      <c r="H15" s="495" t="str">
        <f>'10Paramos'!F10</f>
        <v/>
      </c>
      <c r="I15" s="495" t="str">
        <f>'10Paramos'!E12</f>
        <v>PROGRAMA 5.  (3202) CONSERVACIÓN DE LA BIODIVERSIDAD Y SUS SERVICIOS ECOSISTÉMICOS. Proyecto 5.2 (3202049) Fortalecimiento, gestión e implementación de medidas para el manejo de la fauna y flora, en el departamento del Cesar.</v>
      </c>
      <c r="J15" s="495" t="str">
        <f>'10Paramos'!E13</f>
        <v>Paramo serrania del Perija(Se adelanto gestion con CORPOGUAJIRA para suscribir la comision conjunta para desarrollar el PM del paramo, se manifiesta que el 84% del paramo delimitado se encuentra declarado como un parque natural regional el cual ya cuenta con su respectivo PM el cual fue formulado y adoptado por la corporacion en 2019 teniendo en cuenta lo establecido y solicitado por el MADS) Sierra Nevada de Santa Marta (Se adelanto  gestion con CORPAMAG  y Parques Nacionales para desarrollar el PM el 94% de este paramo hace parte del Parque natural sierra nevada de santa marta que cuenta con su PM ); se aclara que lo consignado en realcion a "paramos delimitados por el MADS (númeo) Ubicados en la jurisdicción de la Corporación" no era acumulativo, se aclara que esto solo se dió en la vigencia 2019."</v>
      </c>
      <c r="L15" s="496" t="str">
        <f t="shared" si="0"/>
        <v/>
      </c>
      <c r="M15" s="496" t="str">
        <f t="shared" si="1"/>
        <v>PROGRAMA 5.  (3202) CONSERVACIÓN DE LA BIODIVERSIDAD Y SUS SERVICIOS ECOSISTÉMICOS. Proyecto 5.2 (3202049) Fortalecimiento, gestión e implementación de medidas para el manejo de la fauna y flora, en el departamento del Cesar.</v>
      </c>
      <c r="N15" s="497" t="str">
        <f t="shared" si="2"/>
        <v>Paramo serrania del Perija(Se adelanto gestion con CORPOGUAJIRA para suscribir la comision conjunta para desarrollar el PM del paramo, se manifiesta que el 84% del paramo delimitado se encuentra declarado como un parque natural regional el cual ya cuenta con su respectivo PM el cual fue formulado y adoptado por la corporacion en 2019 teniendo en cuenta lo establecido y solicitado por el MADS) Sierra Nevada de Santa Marta (Se adelanto  gestion con CORPAMAG  y Parques Nacionales para desarrollar el PM el 94% de este paramo hace parte del Parque natural sierra nevada de santa marta que cuenta con su PM ); se aclara que lo consignado en realcion a "paramos delimitados por el MADS (númeo) Ubicados en la jurisdicción de la Corporación" no era acumulativo, se aclara que esto solo se dió en la vigencia 2019."</v>
      </c>
      <c r="O15" s="498" t="s">
        <v>596</v>
      </c>
      <c r="P15" s="499"/>
    </row>
    <row r="16" spans="1:18" ht="84" x14ac:dyDescent="0.25">
      <c r="A16" s="493" t="s">
        <v>607</v>
      </c>
      <c r="B16" s="494" t="s">
        <v>20</v>
      </c>
      <c r="C16" s="500" t="e">
        <f>+'11Forest'!M34</f>
        <v>#DIV/0!</v>
      </c>
      <c r="D16" s="500" t="e">
        <f>+'11Forest'!N34</f>
        <v>#DIV/0!</v>
      </c>
      <c r="E16" s="500" t="e">
        <f>+'11Forest'!O34</f>
        <v>#DIV/0!</v>
      </c>
      <c r="F16" s="500" t="e">
        <f>+'11Forest'!P34</f>
        <v>#DIV/0!</v>
      </c>
      <c r="H16" s="495">
        <f>+'11Forest'!F10</f>
        <v>0</v>
      </c>
      <c r="I16" s="495">
        <f>+'11Forest'!E12</f>
        <v>0</v>
      </c>
      <c r="J16" s="495" t="str">
        <f>+'11Forest'!E13</f>
        <v>La Corporación formuló y adoptó el POF en vigencias anteriores. Es decir, la meta se cumplió desde la vigencia 2016 que fue adoptado el POF según resolución 1235 de 2017</v>
      </c>
      <c r="L16" s="496">
        <f t="shared" si="0"/>
        <v>0</v>
      </c>
      <c r="M16" s="496" t="str">
        <f t="shared" si="1"/>
        <v/>
      </c>
      <c r="N16" s="497" t="str">
        <f t="shared" si="2"/>
        <v>La Corporación formuló y adoptó el POF en vigencias anteriores. Es decir, la meta se cumplió desde la vigencia 2016 que fue adoptado el POF según resolución 1235 de 2017</v>
      </c>
      <c r="O16" s="498" t="s">
        <v>596</v>
      </c>
      <c r="P16" s="499"/>
    </row>
    <row r="17" spans="1:16" ht="168" x14ac:dyDescent="0.25">
      <c r="A17" s="493" t="s">
        <v>608</v>
      </c>
      <c r="B17" s="494" t="s">
        <v>21</v>
      </c>
      <c r="C17" s="500"/>
      <c r="D17" s="500"/>
      <c r="E17" s="500">
        <f>+'12PlanesAP'!D8</f>
        <v>0.66666666666666663</v>
      </c>
      <c r="F17" s="500"/>
      <c r="H17" s="495" t="str">
        <f>+'12PlanesAP'!F10</f>
        <v/>
      </c>
      <c r="I17" s="495" t="str">
        <f>+'12PlanesAP'!E12</f>
        <v>PROGRAMA 5.  (3202) CONSERVACIÓN DE LA BIODIVERSIDAD Y SUS SERVICIOS ECOSISTÉMICOS. Proyecto 5.3 (3202.08) Gestión del SIRAP y/o implementación de otras estrategias de conservación de la biodiversidad y formulación e implementación y apoyo de PM de AP en el departamento del Cesar.</v>
      </c>
      <c r="J17" s="495">
        <f>+'12PlanesAP'!E13</f>
        <v>0</v>
      </c>
      <c r="L17" s="496" t="str">
        <f t="shared" si="0"/>
        <v/>
      </c>
      <c r="M17" s="496" t="str">
        <f t="shared" si="1"/>
        <v>PROGRAMA 5.  (3202) CONSERVACIÓN DE LA BIODIVERSIDAD Y SUS SERVICIOS ECOSISTÉMICOS. Proyecto 5.3 (3202.08) Gestión del SIRAP y/o implementación de otras estrategias de conservación de la biodiversidad y formulación e implementación y apoyo de PM de AP en el departamento del Cesar.</v>
      </c>
      <c r="N17" s="497" t="str">
        <f t="shared" si="2"/>
        <v/>
      </c>
      <c r="O17" s="498" t="s">
        <v>596</v>
      </c>
      <c r="P17" s="499"/>
    </row>
    <row r="18" spans="1:16" ht="120" x14ac:dyDescent="0.25">
      <c r="A18" s="493" t="s">
        <v>609</v>
      </c>
      <c r="B18" s="494" t="s">
        <v>22</v>
      </c>
      <c r="C18" s="500"/>
      <c r="D18" s="500"/>
      <c r="E18" s="500">
        <f>+'13Amenaz'!D8</f>
        <v>1</v>
      </c>
      <c r="F18" s="500"/>
      <c r="H18" s="495" t="str">
        <f>+'13Amenaz'!F10</f>
        <v/>
      </c>
      <c r="I18" s="495" t="str">
        <f>+'13Amenaz'!E12</f>
        <v>PROGRAMA 5.  (3202) CONSERVACIÓN DE LA BIODIVERSIDAD Y SUS SERVICIOS ECOSISTÉMICOS. Proyecto 5.2 (3202.049) Fortalecimiento, gestión e implementación de medidas para el manejo de la fauna y flora, en el departamento del Cesar.</v>
      </c>
      <c r="J18" s="495">
        <f>+'13Amenaz'!E13</f>
        <v>0</v>
      </c>
      <c r="L18" s="496" t="str">
        <f t="shared" si="0"/>
        <v/>
      </c>
      <c r="M18" s="496" t="str">
        <f t="shared" si="1"/>
        <v>PROGRAMA 5.  (3202) CONSERVACIÓN DE LA BIODIVERSIDAD Y SUS SERVICIOS ECOSISTÉMICOS. Proyecto 5.2 (3202.049) Fortalecimiento, gestión e implementación de medidas para el manejo de la fauna y flora, en el departamento del Cesar.</v>
      </c>
      <c r="N18" s="497" t="str">
        <f t="shared" si="2"/>
        <v/>
      </c>
      <c r="O18" s="498" t="s">
        <v>596</v>
      </c>
      <c r="P18" s="499"/>
    </row>
    <row r="19" spans="1:16" ht="120" x14ac:dyDescent="0.25">
      <c r="A19" s="493" t="s">
        <v>610</v>
      </c>
      <c r="B19" s="494" t="s">
        <v>23</v>
      </c>
      <c r="C19" s="500"/>
      <c r="D19" s="500"/>
      <c r="E19" s="500">
        <f>+'14Invasor'!D8</f>
        <v>1</v>
      </c>
      <c r="F19" s="500"/>
      <c r="H19" s="495" t="str">
        <f>+'14Invasor'!F10</f>
        <v>ACUERDO_003_DEL_17_DE_MAYO_DE_2024 (Por medio del cual se aprueba el Plan de Acción Cuatrienal 2024-2027)</v>
      </c>
      <c r="I19" s="495" t="str">
        <f>+'14Invasor'!E12</f>
        <v>PROGRAMA 5.  (3202) CONSERVACIÓN DE LA BIODIVERSIDAD Y SUS SERVICIOS ECOSISTÉMICOS. Proyecto 5.2 (3202049) Fortalecimiento, gestión e implementación de medidas para el manejo de la fauna y flora, en el departamento del Cesar.</v>
      </c>
      <c r="J19" s="495">
        <f>+'14Invasor'!E13</f>
        <v>0</v>
      </c>
      <c r="L19" s="496" t="str">
        <f t="shared" si="0"/>
        <v>ACUERDO_003_DEL_17_DE_MAYO_DE_2024 (Por medio del cual se aprueba el Plan de Acción Cuatrienal 2024-2027)</v>
      </c>
      <c r="M19" s="496" t="str">
        <f t="shared" si="1"/>
        <v>PROGRAMA 5.  (3202) CONSERVACIÓN DE LA BIODIVERSIDAD Y SUS SERVICIOS ECOSISTÉMICOS. Proyecto 5.2 (3202049) Fortalecimiento, gestión e implementación de medidas para el manejo de la fauna y flora, en el departamento del Cesar.</v>
      </c>
      <c r="N19" s="497" t="str">
        <f t="shared" si="2"/>
        <v/>
      </c>
      <c r="O19" s="498" t="s">
        <v>596</v>
      </c>
      <c r="P19" s="499"/>
    </row>
    <row r="20" spans="1:16" ht="120" x14ac:dyDescent="0.25">
      <c r="A20" s="493" t="s">
        <v>611</v>
      </c>
      <c r="B20" s="494" t="s">
        <v>24</v>
      </c>
      <c r="C20" s="500" t="e">
        <f>+'15Restaura'!E22</f>
        <v>#DIV/0!</v>
      </c>
      <c r="D20" s="500">
        <f>+'15Restaura'!F22</f>
        <v>0</v>
      </c>
      <c r="E20" s="500">
        <f>+'15Restaura'!G22</f>
        <v>0</v>
      </c>
      <c r="F20" s="500">
        <f>+'15Restaura'!H22</f>
        <v>0</v>
      </c>
      <c r="H20" s="495" t="str">
        <f>+'15Restaura'!F10</f>
        <v>ACUERDO_003_DEL_17_DE_MAYO_DE_2024 (Por medio del cual se aprueba el Plan de Acción Cuatrienal 2024-2027)</v>
      </c>
      <c r="I20" s="495" t="str">
        <f>+'15Restaura'!E12</f>
        <v>PROGRAMA 5.  (3202) CONSERVACIÓN DE LA BIODIVERSIDAD Y SUS SERVICIOS ECOSISTÉMICOS. Proyecto 5.2 (3202049) Fortalecimiento, gestión e implementación de medidas para el manejo de la fauna y flora, en el departamento del Cesar.</v>
      </c>
      <c r="J20" s="495">
        <f>+'15Restaura'!E13</f>
        <v>0</v>
      </c>
      <c r="L20" s="496" t="str">
        <f t="shared" si="0"/>
        <v/>
      </c>
      <c r="M20" s="496" t="str">
        <f t="shared" si="1"/>
        <v>PROGRAMA 5.  (3202) CONSERVACIÓN DE LA BIODIVERSIDAD Y SUS SERVICIOS ECOSISTÉMICOS. Proyecto 5.2 (3202049) Fortalecimiento, gestión e implementación de medidas para el manejo de la fauna y flora, en el departamento del Cesar.</v>
      </c>
      <c r="N20" s="497" t="str">
        <f t="shared" si="2"/>
        <v/>
      </c>
      <c r="O20" s="498" t="s">
        <v>596</v>
      </c>
      <c r="P20" s="499"/>
    </row>
    <row r="21" spans="1:16" ht="96" x14ac:dyDescent="0.25">
      <c r="A21" s="493" t="s">
        <v>612</v>
      </c>
      <c r="B21" s="494" t="s">
        <v>25</v>
      </c>
      <c r="C21" s="500"/>
      <c r="D21" s="500"/>
      <c r="E21" s="500" t="str">
        <f>+'16MIZC'!D8</f>
        <v>NO APLICA</v>
      </c>
      <c r="F21" s="500"/>
      <c r="H21" s="495" t="str">
        <f>+'16MIZC'!F10</f>
        <v>ACUERDO_003_DEL_17_DE_MAYO_DE_2024 (Por medio del cual se aprueba el Plan de Acción Cuatrienal 2024-2027)</v>
      </c>
      <c r="I21" s="495">
        <f>+'16MIZC'!E12</f>
        <v>0</v>
      </c>
      <c r="J21" s="495">
        <f>+'16MIZC'!E13</f>
        <v>0</v>
      </c>
      <c r="L21" s="496" t="str">
        <f t="shared" si="0"/>
        <v>ACUERDO_003_DEL_17_DE_MAYO_DE_2024 (Por medio del cual se aprueba el Plan de Acción Cuatrienal 2024-2027)</v>
      </c>
      <c r="M21" s="496" t="str">
        <f t="shared" si="1"/>
        <v/>
      </c>
      <c r="N21" s="497" t="str">
        <f t="shared" si="2"/>
        <v/>
      </c>
      <c r="O21" s="498" t="s">
        <v>596</v>
      </c>
      <c r="P21" s="499"/>
    </row>
    <row r="22" spans="1:16" ht="25.5" x14ac:dyDescent="0.25">
      <c r="A22" s="493" t="s">
        <v>613</v>
      </c>
      <c r="B22" s="494" t="s">
        <v>26</v>
      </c>
      <c r="C22" s="500">
        <f>+'17PGIRS'!E22</f>
        <v>1</v>
      </c>
      <c r="D22" s="500">
        <f>+'17PGIRS'!F22</f>
        <v>0</v>
      </c>
      <c r="E22" s="500">
        <f>+'17PGIRS'!G22</f>
        <v>0</v>
      </c>
      <c r="F22" s="500">
        <f>+'17PGIRS'!H22</f>
        <v>0</v>
      </c>
      <c r="H22" s="495" t="str">
        <f>+'17PGIRS'!F10</f>
        <v/>
      </c>
      <c r="I22" s="495">
        <f>+'17PGIRS'!E12</f>
        <v>0</v>
      </c>
      <c r="J22" s="495">
        <f>+'17PGIRS'!E13</f>
        <v>0</v>
      </c>
      <c r="L22" s="496" t="str">
        <f t="shared" si="0"/>
        <v/>
      </c>
      <c r="M22" s="496" t="str">
        <f t="shared" si="1"/>
        <v/>
      </c>
      <c r="N22" s="497" t="str">
        <f t="shared" si="2"/>
        <v/>
      </c>
      <c r="O22" s="498" t="s">
        <v>596</v>
      </c>
      <c r="P22" s="499"/>
    </row>
    <row r="23" spans="1:16" ht="336" x14ac:dyDescent="0.25">
      <c r="A23" s="493" t="s">
        <v>614</v>
      </c>
      <c r="B23" s="494" t="s">
        <v>27</v>
      </c>
      <c r="C23" s="500">
        <f>+'18Sector'!E20</f>
        <v>1</v>
      </c>
      <c r="D23" s="500">
        <f>+'18Sector'!F20</f>
        <v>0</v>
      </c>
      <c r="E23" s="500">
        <f>+'18Sector'!G20</f>
        <v>0</v>
      </c>
      <c r="F23" s="500">
        <f>+'18Sector'!H20</f>
        <v>0</v>
      </c>
      <c r="H23" s="495" t="str">
        <f>+'18Sector'!F10</f>
        <v/>
      </c>
      <c r="I23" s="495" t="str">
        <f>+'18Sector'!E12</f>
        <v>PROGRAMA 1. (3201) FORTALECIMIENTO DEL DESEMPEÑO AMBIENTAL DE LOS SECTORES PRODUCTIVOS. Proyecto 1.1. (3201.01) 
Gestión e implementación de estrategias para la recuperación y conservación de la flora y fauna en el Departamento del Cesar. Act. 1.1.1. (3201.01.03) Gestión de sistemas bajo esquemas de PSA e incentivos a la conservación: Fortalecimiento de capacidades (instrumentación jurídica, gestión y articulación institucional, evaluación y seguimiento, y sostenibilidad financiera.
Implementación del banco de proyectos de PSA. Dinamización el Registro Único de Ecosistemas y Áreas Ambientales (REAA).</v>
      </c>
      <c r="J23" s="495">
        <f>+'18Sector'!E13</f>
        <v>0</v>
      </c>
      <c r="L23" s="496" t="str">
        <f t="shared" si="0"/>
        <v/>
      </c>
      <c r="M23" s="496" t="str">
        <f t="shared" si="1"/>
        <v>PROGRAMA 1. (3201) FORTALECIMIENTO DEL DESEMPEÑO AMBIENTAL DE LOS SECTORES PRODUCTIVOS. Proyecto 1.1. (3201.01) 
Gestión e implementación de estrategias para la recuperación y conservación de la flora y fauna en el Departamento del Cesar. Act. 1.1.1. (3201.01.03) Gestión de sistemas bajo esquemas de PSA e incentivos a la conservación: Fortalecimiento de capacidades (instrumentación jurídica, gestión y articulación institucional, evaluación y seguimiento, y sostenibilidad financiera.
Implementación del banco de proyectos de PSA. Dinamización el Registro Único de Ecosistemas y Áreas Ambientales (REAA).</v>
      </c>
      <c r="N23" s="497" t="str">
        <f t="shared" si="2"/>
        <v/>
      </c>
      <c r="O23" s="498" t="s">
        <v>596</v>
      </c>
      <c r="P23" s="499"/>
    </row>
    <row r="24" spans="1:16" ht="144" x14ac:dyDescent="0.25">
      <c r="A24" s="493" t="s">
        <v>615</v>
      </c>
      <c r="B24" s="494" t="s">
        <v>28</v>
      </c>
      <c r="C24" s="500"/>
      <c r="D24" s="500"/>
      <c r="E24" s="500">
        <f>+'19GAU'!D8</f>
        <v>0</v>
      </c>
      <c r="F24" s="500"/>
      <c r="H24" s="495" t="str">
        <f>+'19GAU'!F10</f>
        <v/>
      </c>
      <c r="I24" s="495" t="str">
        <f>+'19GAU'!E12</f>
        <v>PROGRAMA 1. (3201) FORTALECIMIENTO DEL DESEMPEÑO AMBIENTAL DE LOS SECTORES PRODUCTIVOS. Proyecto 1.1. (3201.01) Gestión e implementación de estrategias para la recuperación y conservación de la flora y fauna en el Departamento del Cesar.</v>
      </c>
      <c r="J24" s="495">
        <f>+'19GAU'!E13</f>
        <v>0</v>
      </c>
      <c r="L24" s="496" t="str">
        <f t="shared" si="0"/>
        <v/>
      </c>
      <c r="M24" s="496" t="str">
        <f t="shared" si="1"/>
        <v>PROGRAMA 1. (3201) FORTALECIMIENTO DEL DESEMPEÑO AMBIENTAL DE LOS SECTORES PRODUCTIVOS. Proyecto 1.1. (3201.01) Gestión e implementación de estrategias para la recuperación y conservación de la flora y fauna en el Departamento del Cesar.</v>
      </c>
      <c r="N24" s="497" t="str">
        <f t="shared" si="2"/>
        <v/>
      </c>
      <c r="O24" s="498" t="s">
        <v>596</v>
      </c>
      <c r="P24" s="499"/>
    </row>
    <row r="25" spans="1:16" ht="409.5" x14ac:dyDescent="0.25">
      <c r="A25" s="493" t="s">
        <v>616</v>
      </c>
      <c r="B25" s="494" t="s">
        <v>29</v>
      </c>
      <c r="C25" s="500"/>
      <c r="D25" s="500"/>
      <c r="E25" s="500">
        <f>+'20Negoc'!D8</f>
        <v>0</v>
      </c>
      <c r="F25" s="500"/>
      <c r="H25" s="495" t="str">
        <f>+'20Negoc'!F10</f>
        <v/>
      </c>
      <c r="I25" s="495" t="str">
        <f>+'20Negoc'!E12</f>
        <v xml:space="preserve">PROGRAMA 1. (3201) FORTALECIMIENTO DEL DESEMPEÑO AMBIENTAL DE LOS SECTORES PRODUCTIVOS. Proyecto1.2 (3201.03). Gestión y apoyo regional a la implementación de la estrategia nacional de Economía circular y economía ambiental para la producción sostenible, articulado a las apuestas del Proyecto 2.1. Act. 1.2.2 (3201.003): Servicio de asistencia técnica para la consolidación de negocios verdes.
Promover modelos de negocios con enfoque en economía circular a través de proyectos de cadenas de suministros circulares, plataformas colaborativas, modelos para extender la vida útil de los materiales, responsabilidad extendida del productor, entre otros, incorporando habilitadores como incentivos económicos y no económicos, gobernanza, financiamiento, empleos verdes e innovación tecnológica. </v>
      </c>
      <c r="J25" s="495">
        <f>+'20Negoc'!E13</f>
        <v>0</v>
      </c>
      <c r="L25" s="496" t="str">
        <f t="shared" si="0"/>
        <v/>
      </c>
      <c r="M25" s="496" t="str">
        <f t="shared" si="1"/>
        <v xml:space="preserve">PROGRAMA 1. (3201) FORTALECIMIENTO DEL DESEMPEÑO AMBIENTAL DE LOS SECTORES PRODUCTIVOS. Proyecto1.2 (3201.03). Gestión y apoyo regional a la implementación de la estrategia nacional de Economía circular y economía ambiental para la producción sostenible, articulado a las apuestas del Proyecto 2.1. Act. 1.2.2 (3201.003): Servicio de asistencia técnica para la consolidación de negocios verdes.
Promover modelos de negocios con enfoque en economía circular a través de proyectos de cadenas de suministros circulares, plataformas colaborativas, modelos para extender la vida útil de los materiales, responsabilidad extendida del productor, entre otros, incorporando habilitadores como incentivos económicos y no económicos, gobernanza, financiamiento, empleos verdes e innovación tecnológica. </v>
      </c>
      <c r="N25" s="497" t="str">
        <f t="shared" si="2"/>
        <v/>
      </c>
      <c r="O25" s="498" t="s">
        <v>596</v>
      </c>
      <c r="P25" s="499"/>
    </row>
    <row r="26" spans="1:16" ht="96" x14ac:dyDescent="0.25">
      <c r="A26" s="493" t="s">
        <v>617</v>
      </c>
      <c r="B26" s="494" t="s">
        <v>30</v>
      </c>
      <c r="C26" s="500"/>
      <c r="D26" s="500"/>
      <c r="E26" s="500">
        <f>+'21TiempoT'!D8</f>
        <v>0.55806281271413083</v>
      </c>
      <c r="F26" s="500"/>
      <c r="H26" s="495" t="str">
        <f>+'21TiempoT'!F10</f>
        <v/>
      </c>
      <c r="I26" s="495" t="str">
        <f>+'21TiempoT'!E12</f>
        <v>PROGRAMA 6.  (3299) FORTALECIMIENTO DE LA GESTIÓN Y DIRECCIÓN DEL SECTOR AMBIENTE Y DESARROLLO SOSTENIBLE. Proyecto 6.4. (3204) Gestión de la Información y el conocimiento ambiental</v>
      </c>
      <c r="J26" s="495">
        <f>+'21TiempoT'!E13</f>
        <v>0</v>
      </c>
      <c r="L26" s="496" t="str">
        <f t="shared" si="0"/>
        <v/>
      </c>
      <c r="M26" s="496" t="str">
        <f t="shared" si="1"/>
        <v>PROGRAMA 6.  (3299) FORTALECIMIENTO DE LA GESTIÓN Y DIRECCIÓN DEL SECTOR AMBIENTE Y DESARROLLO SOSTENIBLE. Proyecto 6.4. (3204) Gestión de la Información y el conocimiento ambiental</v>
      </c>
      <c r="N26" s="497" t="str">
        <f t="shared" si="2"/>
        <v/>
      </c>
      <c r="O26" s="498" t="s">
        <v>596</v>
      </c>
      <c r="P26" s="499"/>
    </row>
    <row r="27" spans="1:16" ht="96" x14ac:dyDescent="0.25">
      <c r="A27" s="493" t="s">
        <v>618</v>
      </c>
      <c r="B27" s="494" t="s">
        <v>31</v>
      </c>
      <c r="C27" s="500"/>
      <c r="D27" s="500"/>
      <c r="E27" s="500">
        <f>+'22Autor'!D8</f>
        <v>0.99718670076726335</v>
      </c>
      <c r="F27" s="500"/>
      <c r="H27" s="495" t="str">
        <f>+'22Autor'!F10</f>
        <v/>
      </c>
      <c r="I27" s="495" t="str">
        <f>+'22Autor'!E12</f>
        <v>PROGRAMA 6.  (3299) FORTALECIMIENTO DE LA GESTIÓN Y DIRECCIÓN DEL SECTOR AMBIENTE Y DESARROLLO SOSTENIBLE. Proyecto 6.4. (3204) Gestión de la Información y el conocimiento ambiental</v>
      </c>
      <c r="J27" s="495">
        <f>+'22Autor'!E13</f>
        <v>0</v>
      </c>
      <c r="L27" s="496" t="str">
        <f t="shared" si="0"/>
        <v/>
      </c>
      <c r="M27" s="496" t="str">
        <f t="shared" si="1"/>
        <v>PROGRAMA 6.  (3299) FORTALECIMIENTO DE LA GESTIÓN Y DIRECCIÓN DEL SECTOR AMBIENTE Y DESARROLLO SOSTENIBLE. Proyecto 6.4. (3204) Gestión de la Información y el conocimiento ambiental</v>
      </c>
      <c r="N27" s="497" t="str">
        <f t="shared" si="2"/>
        <v/>
      </c>
      <c r="O27" s="498" t="s">
        <v>596</v>
      </c>
      <c r="P27" s="499"/>
    </row>
    <row r="28" spans="1:16" ht="96" x14ac:dyDescent="0.25">
      <c r="A28" s="493" t="s">
        <v>619</v>
      </c>
      <c r="B28" s="494" t="s">
        <v>32</v>
      </c>
      <c r="C28" s="500">
        <f>+'23Sanc'!E21</f>
        <v>6.9444444444444448E-2</v>
      </c>
      <c r="D28" s="500" t="e">
        <f>+'23Sanc'!F21</f>
        <v>#DIV/0!</v>
      </c>
      <c r="E28" s="500" t="e">
        <f>+'23Sanc'!G21</f>
        <v>#DIV/0!</v>
      </c>
      <c r="F28" s="500" t="e">
        <f>+'23Sanc'!H21</f>
        <v>#DIV/0!</v>
      </c>
      <c r="H28" s="495" t="str">
        <f>+'22Autor'!F10</f>
        <v/>
      </c>
      <c r="I28" s="495" t="str">
        <f>+'22Autor'!E12</f>
        <v>PROGRAMA 6.  (3299) FORTALECIMIENTO DE LA GESTIÓN Y DIRECCIÓN DEL SECTOR AMBIENTE Y DESARROLLO SOSTENIBLE. Proyecto 6.4. (3204) Gestión de la Información y el conocimiento ambiental</v>
      </c>
      <c r="J28" s="495">
        <f>+'22Autor'!E13</f>
        <v>0</v>
      </c>
      <c r="L28" s="496" t="str">
        <f t="shared" si="0"/>
        <v/>
      </c>
      <c r="M28" s="496" t="str">
        <f t="shared" si="1"/>
        <v>PROGRAMA 6.  (3299) FORTALECIMIENTO DE LA GESTIÓN Y DIRECCIÓN DEL SECTOR AMBIENTE Y DESARROLLO SOSTENIBLE. Proyecto 6.4. (3204) Gestión de la Información y el conocimiento ambiental</v>
      </c>
      <c r="N28" s="497" t="str">
        <f t="shared" si="2"/>
        <v/>
      </c>
      <c r="O28" s="498" t="s">
        <v>596</v>
      </c>
      <c r="P28" s="499"/>
    </row>
    <row r="29" spans="1:16" ht="168" x14ac:dyDescent="0.25">
      <c r="A29" s="493" t="s">
        <v>620</v>
      </c>
      <c r="B29" s="494" t="s">
        <v>33</v>
      </c>
      <c r="C29" s="500">
        <f>+'24POT'!E17</f>
        <v>0</v>
      </c>
      <c r="D29" s="500">
        <f>+'24POT'!F17</f>
        <v>0</v>
      </c>
      <c r="E29" s="500">
        <f>+'24POT'!G17</f>
        <v>0</v>
      </c>
      <c r="F29" s="500">
        <f>+'24POT'!H17</f>
        <v>0</v>
      </c>
      <c r="H29" s="495" t="str">
        <f>+'24POT'!F9</f>
        <v/>
      </c>
      <c r="I29" s="495" t="str">
        <f>'24POT'!E11</f>
        <v>PROGRAMA 4. (3205) ORDENAMIENTO AMBIENTAL TERRITORIAL. Proyecto 4.1 (3205.01)
 Fortalecimiento del proceso de Ordenamiento Territorial como estrategia para promover el desarrollo territorial sostenible, en el dpto. del Cesar, enfocada a la atención interinstitucional de tres crisis ambientales globales.</v>
      </c>
      <c r="J29" s="495">
        <f>'24POT'!E12</f>
        <v>0</v>
      </c>
      <c r="L29" s="496" t="str">
        <f t="shared" si="0"/>
        <v/>
      </c>
      <c r="M29" s="496" t="str">
        <f t="shared" si="1"/>
        <v>PROGRAMA 4. (3205) ORDENAMIENTO AMBIENTAL TERRITORIAL. Proyecto 4.1 (3205.01)
 Fortalecimiento del proceso de Ordenamiento Territorial como estrategia para promover el desarrollo territorial sostenible, en el dpto. del Cesar, enfocada a la atención interinstitucional de tres crisis ambientales globales.</v>
      </c>
      <c r="N29" s="497" t="str">
        <f t="shared" si="2"/>
        <v/>
      </c>
      <c r="O29" s="498" t="s">
        <v>596</v>
      </c>
      <c r="P29" s="499"/>
    </row>
    <row r="30" spans="1:16" ht="96" x14ac:dyDescent="0.25">
      <c r="A30" s="493" t="s">
        <v>621</v>
      </c>
      <c r="B30" s="494" t="s">
        <v>34</v>
      </c>
      <c r="C30" s="500"/>
      <c r="D30" s="500"/>
      <c r="E30" s="500">
        <f>+'25Redes'!D8</f>
        <v>0.875</v>
      </c>
      <c r="F30" s="500"/>
      <c r="H30" s="495" t="str">
        <f>+'25Redes'!F10</f>
        <v/>
      </c>
      <c r="I30" s="495" t="str">
        <f>+'25Redes'!E12</f>
        <v>PROGRAMA 6.  (3299) FORTALECIMIENTO DE LA GESTIÓN Y DIRECCIÓN DEL SECTOR AMBIENTE Y DESARROLLO SOSTENIBLE. Proyecto 6.4. (3204) Gestión de la Información y el conocimiento ambiental.</v>
      </c>
      <c r="J30" s="495">
        <f>+'25Redes'!E13</f>
        <v>0</v>
      </c>
      <c r="L30" s="496" t="str">
        <f t="shared" si="0"/>
        <v/>
      </c>
      <c r="M30" s="496" t="str">
        <f t="shared" si="1"/>
        <v>PROGRAMA 6.  (3299) FORTALECIMIENTO DE LA GESTIÓN Y DIRECCIÓN DEL SECTOR AMBIENTE Y DESARROLLO SOSTENIBLE. Proyecto 6.4. (3204) Gestión de la Información y el conocimiento ambiental.</v>
      </c>
      <c r="N30" s="497" t="str">
        <f t="shared" si="2"/>
        <v/>
      </c>
      <c r="O30" s="498" t="s">
        <v>596</v>
      </c>
      <c r="P30" s="499"/>
    </row>
    <row r="31" spans="1:16" ht="96" x14ac:dyDescent="0.25">
      <c r="A31" s="493" t="s">
        <v>622</v>
      </c>
      <c r="B31" s="494" t="s">
        <v>35</v>
      </c>
      <c r="C31" s="500"/>
      <c r="D31" s="500"/>
      <c r="E31" s="500">
        <f>+'26SIAC'!D8</f>
        <v>0.96577791398508539</v>
      </c>
      <c r="F31" s="500"/>
      <c r="H31" s="495" t="str">
        <f>+'26SIAC'!F10</f>
        <v/>
      </c>
      <c r="I31" s="495" t="str">
        <f>+'26SIAC'!E12</f>
        <v>PROGRAMA 6.  (3299) FORTALECIMIENTO DE LA GESTIÓN Y DIRECCIÓN DEL SECTOR AMBIENTE Y DESARROLLO SOSTENIBLE. Proyecto 6.4. (3204) Gestión de la Información y el conocimiento ambiental.</v>
      </c>
      <c r="J31" s="495">
        <f>+'26SIAC'!E13</f>
        <v>0</v>
      </c>
      <c r="L31" s="496" t="str">
        <f t="shared" si="0"/>
        <v/>
      </c>
      <c r="M31" s="496" t="str">
        <f t="shared" si="1"/>
        <v>PROGRAMA 6.  (3299) FORTALECIMIENTO DE LA GESTIÓN Y DIRECCIÓN DEL SECTOR AMBIENTE Y DESARROLLO SOSTENIBLE. Proyecto 6.4. (3204) Gestión de la Información y el conocimiento ambiental.</v>
      </c>
      <c r="N31" s="497" t="str">
        <f t="shared" si="2"/>
        <v/>
      </c>
      <c r="O31" s="498" t="s">
        <v>596</v>
      </c>
      <c r="P31" s="499"/>
    </row>
    <row r="32" spans="1:16" ht="192" x14ac:dyDescent="0.25">
      <c r="A32" s="493" t="s">
        <v>623</v>
      </c>
      <c r="B32" s="494" t="s">
        <v>36</v>
      </c>
      <c r="C32" s="500"/>
      <c r="D32" s="500"/>
      <c r="E32" s="500">
        <f>+'27Educa'!D8</f>
        <v>0</v>
      </c>
      <c r="F32" s="500"/>
      <c r="H32" s="495" t="str">
        <f>+'27Educa'!F10</f>
        <v/>
      </c>
      <c r="I32" s="495" t="str">
        <f>+'27Educa'!E12</f>
        <v xml:space="preserve">PROGRAMA 6.  (3299) FORTALECIMIENTO DE LA GESTIÓN Y DIRECCIÓN DEL SECTOR AMBIENTE Y DESARROLLO SOSTENIBLE. Proyecto 6.2 (3208.02)
Fortalecimiento y optimización del programa transversal de Educación Ambiental de la Corporación, armonizado a la Política Nacional de Educación Ambiental asociados a todos los proyectos de inversión de la Corporación. </v>
      </c>
      <c r="J32" s="495">
        <f>+'27Educa'!E13</f>
        <v>0</v>
      </c>
      <c r="L32" s="496" t="str">
        <f t="shared" si="0"/>
        <v/>
      </c>
      <c r="M32" s="496" t="str">
        <f t="shared" si="1"/>
        <v xml:space="preserve">PROGRAMA 6.  (3299) FORTALECIMIENTO DE LA GESTIÓN Y DIRECCIÓN DEL SECTOR AMBIENTE Y DESARROLLO SOSTENIBLE. Proyecto 6.2 (3208.02)
Fortalecimiento y optimización del programa transversal de Educación Ambiental de la Corporación, armonizado a la Política Nacional de Educación Ambiental asociados a todos los proyectos de inversión de la Corporación. </v>
      </c>
      <c r="N32" s="497" t="str">
        <f t="shared" si="2"/>
        <v/>
      </c>
      <c r="O32" s="498" t="s">
        <v>596</v>
      </c>
      <c r="P32" s="499"/>
    </row>
  </sheetData>
  <mergeCells count="4">
    <mergeCell ref="A1:P1"/>
    <mergeCell ref="A3:P3"/>
    <mergeCell ref="A4:B4"/>
    <mergeCell ref="A2:P2"/>
  </mergeCells>
  <conditionalFormatting sqref="C6:F32">
    <cfRule type="cellIs" dxfId="126" priority="1" stopIfTrue="1" operator="between">
      <formula>"&gt;70%"</formula>
      <formula>100%</formula>
    </cfRule>
    <cfRule type="cellIs" dxfId="125" priority="2" stopIfTrue="1" operator="between">
      <formula>"&gt;50%"</formula>
      <formula>70%</formula>
    </cfRule>
    <cfRule type="cellIs" dxfId="124" priority="3" stopIfTrue="1" operator="between">
      <formula>0%</formula>
      <formula>50%</formula>
    </cfRule>
  </conditionalFormatting>
  <conditionalFormatting sqref="H6:I6">
    <cfRule type="colorScale" priority="7">
      <colorScale>
        <cfvo type="min"/>
        <cfvo type="percentile" val="50"/>
        <cfvo type="max"/>
        <color rgb="FFF8696B"/>
        <color rgb="FFFFEB84"/>
        <color rgb="FF63BE7B"/>
      </colorScale>
    </cfRule>
  </conditionalFormatting>
  <conditionalFormatting sqref="H7:I32">
    <cfRule type="colorScale" priority="14">
      <colorScale>
        <cfvo type="min"/>
        <cfvo type="percentile" val="50"/>
        <cfvo type="max"/>
        <color rgb="FFF8696B"/>
        <color rgb="FFFFEB84"/>
        <color rgb="FF63BE7B"/>
      </colorScale>
    </cfRule>
  </conditionalFormatting>
  <conditionalFormatting sqref="J6">
    <cfRule type="colorScale" priority="6">
      <colorScale>
        <cfvo type="min"/>
        <cfvo type="percentile" val="50"/>
        <cfvo type="max"/>
        <color rgb="FFF8696B"/>
        <color rgb="FFFFEB84"/>
        <color rgb="FF63BE7B"/>
      </colorScale>
    </cfRule>
  </conditionalFormatting>
  <conditionalFormatting sqref="J7:J32">
    <cfRule type="colorScale" priority="8">
      <colorScale>
        <cfvo type="min"/>
        <cfvo type="percentile" val="50"/>
        <cfvo type="max"/>
        <color rgb="FFF8696B"/>
        <color rgb="FFFFEB84"/>
        <color rgb="FF63BE7B"/>
      </colorScale>
    </cfRule>
  </conditionalFormatting>
  <conditionalFormatting sqref="L6:L7">
    <cfRule type="colorScale" priority="13">
      <colorScale>
        <cfvo type="min"/>
        <cfvo type="percentile" val="50"/>
        <cfvo type="max"/>
        <color rgb="FFF8696B"/>
        <color rgb="FFFFEB84"/>
        <color rgb="FF63BE7B"/>
      </colorScale>
    </cfRule>
  </conditionalFormatting>
  <conditionalFormatting sqref="L8:L32">
    <cfRule type="colorScale" priority="12">
      <colorScale>
        <cfvo type="min"/>
        <cfvo type="percentile" val="50"/>
        <cfvo type="max"/>
        <color rgb="FFF8696B"/>
        <color rgb="FFFFEB84"/>
        <color rgb="FF63BE7B"/>
      </colorScale>
    </cfRule>
  </conditionalFormatting>
  <conditionalFormatting sqref="M6:M32">
    <cfRule type="colorScale" priority="11">
      <colorScale>
        <cfvo type="min"/>
        <cfvo type="percentile" val="50"/>
        <cfvo type="max"/>
        <color rgb="FFF8696B"/>
        <color rgb="FFFFEB84"/>
        <color rgb="FF63BE7B"/>
      </colorScale>
    </cfRule>
  </conditionalFormatting>
  <conditionalFormatting sqref="N6">
    <cfRule type="colorScale" priority="10">
      <colorScale>
        <cfvo type="min"/>
        <cfvo type="percentile" val="50"/>
        <cfvo type="max"/>
        <color rgb="FFF8696B"/>
        <color rgb="FFFFEB84"/>
        <color rgb="FF63BE7B"/>
      </colorScale>
    </cfRule>
  </conditionalFormatting>
  <conditionalFormatting sqref="N7:N32">
    <cfRule type="colorScale" priority="9">
      <colorScale>
        <cfvo type="min"/>
        <cfvo type="percentile" val="50"/>
        <cfvo type="max"/>
        <color rgb="FFF8696B"/>
        <color rgb="FFFFEB84"/>
        <color rgb="FF63BE7B"/>
      </colorScale>
    </cfRule>
  </conditionalFormatting>
  <conditionalFormatting sqref="O6">
    <cfRule type="colorScale" priority="5">
      <colorScale>
        <cfvo type="min"/>
        <cfvo type="percentile" val="50"/>
        <cfvo type="max"/>
        <color rgb="FFF8696B"/>
        <color rgb="FFFFEB84"/>
        <color rgb="FF63BE7B"/>
      </colorScale>
    </cfRule>
  </conditionalFormatting>
  <conditionalFormatting sqref="O7:O32">
    <cfRule type="colorScale" priority="4">
      <colorScale>
        <cfvo type="min"/>
        <cfvo type="percentile" val="50"/>
        <cfvo type="max"/>
        <color rgb="FFF8696B"/>
        <color rgb="FFFFEB84"/>
        <color rgb="FF63BE7B"/>
      </colorScale>
    </cfRule>
  </conditionalFormatting>
  <hyperlinks>
    <hyperlink ref="B6" location="'1POMCAS'!A1" display="Porcentaje de avance en la formulación y/o ajuste de los Planes de Ordenación y Manejo de Cuencas (POMCAS), Planes de Manejo de Acuíferos (PMA) y Planes de Manejo de Microcuencas (PMM)" xr:uid="{77F9A9C4-9C9D-41FC-B6FC-20BB35EB7012}"/>
    <hyperlink ref="B7" location="'2PORH'!A1" display="Porcentaje de cuerpos de agua con planes de ordenamiento del recurso hídrico (PORH) adoptados" xr:uid="{5FCEF158-6A76-4F79-9B85-15CDCBD48423}"/>
    <hyperlink ref="B8" location="'3PSMV'!A1" display="Porcentaje de Planes de Saneamiento y Manejo de Vertimientos (PSMV) con seguimiento" xr:uid="{1D0EA140-AF0C-472A-992D-18460F5E4CB4}"/>
    <hyperlink ref="B9" location="'4UsoAguas'!A1" display="Porcentaje de cuerpos de agua con reglamentación del uso de las aguas" xr:uid="{A8CD11FB-876E-4EE1-A664-EB059439607F}"/>
    <hyperlink ref="B10" location="'5PUEAA'!A1" display="Porcentaje de Programas de Uso Eficiente y Ahorro del Agua (PUEAA) con seguimiento" xr:uid="{E852881A-BA65-4016-B4D9-65F649C758B6}"/>
    <hyperlink ref="B11" location="'6POMCASejec'!_Toc467769473" display="Porcentaje de Planes de Ordenación y Manejo de Cuencas (POMCAS), Planes de Manejo de Acuíferos (PMA) y Planes de Manejo de Microcuencas (PMM) en ejecución" xr:uid="{CC9C95EA-A895-43FF-BDE0-F80046CFDE59}"/>
    <hyperlink ref="B12" location="'7Clima'!_Toc467769474" display="Porcentaje de entes territoriales asesorados en la incorporación, planificación y ejecución de acciones relacionadas con cambio climático en el marco de los instrumentos de planificación territorial" xr:uid="{A3C41CE6-17F0-4E1B-BCFC-B5E77988FCE1}"/>
    <hyperlink ref="B13" location="'8Suelo'!_Toc467769475" display="Porcentaje de suelos degradados en recuperación o rehabilitación" xr:uid="{75DA2323-B6B2-45E0-8CB2-AD6BE9EE7F40}"/>
    <hyperlink ref="B14" location="'9RUNAP'!_Toc467769476" display="Porcentaje de la superficie de áreas protegidas regionales declaradas, homologadas o recategorizadas, inscritas en el RUNAP" xr:uid="{F35EB2F6-16EE-40B5-9EEE-55BAB7378859}"/>
    <hyperlink ref="B15" location="'10Paramos'!_Toc467769477" display="Porcentaje de páramos delimitados por el MADS, con zonificación y régimen de usos adoptados por la CAR" xr:uid="{29E862D4-E27A-4DF7-AB1B-9E2479DBE207}"/>
    <hyperlink ref="B16" location="'11Forest'!_Toc467769478" display="Porcentaje de avance en la formulación del Plan de Ordenación Forestal" xr:uid="{C4831E2D-7928-4F02-BE9C-E09446FE83C0}"/>
    <hyperlink ref="B17" location="'12PlanesAP'!_Toc467769479" display="Porcentaje de áreas protegidas con planes de manejo en ejecución" xr:uid="{B84E417F-C3DD-4F56-AFDA-A96815559CA3}"/>
    <hyperlink ref="B18" location="'13Amenaz'!_Toc467769480" display="Porcentaje de especies amenazadas con medidas de conservación y manejo en ejecución" xr:uid="{6066C917-5DAE-475E-BF68-D2BD2A1F541D}"/>
    <hyperlink ref="B19" location="'14Invasor'!_Toc467769481" display="Porcentaje de especies invasoras con medidas de prevención, control y manejo en ejecución" xr:uid="{A34490EA-BC80-4045-B4C5-75002C082BCB}"/>
    <hyperlink ref="B20" location="'15Restaura'!_Toc467769482" display="Porcentaje de áreas de ecosistemas en restauración, rehabilitación y reforestación" xr:uid="{40BC1DFC-9B17-45A6-9B73-5F4EDE065CFB}"/>
    <hyperlink ref="B21" location="'16MIZC'!_Toc467769483" display="Implementación de acciones en manejo integrado de zonas costeras" xr:uid="{2F1D1957-58FD-4A4C-8C8B-E8E660F91445}"/>
    <hyperlink ref="B22" location="'17PGIRS'!_Toc467769484" display="Porcentaje de Planes de Gestión Integral de Residuos Sólidos (PGIRS) con seguimiento a metas de aprovechamiento" xr:uid="{3F78943E-585B-4210-81F1-ED5EB6DACE2D}"/>
    <hyperlink ref="B23" location="'18Sector'!_Toc467769485" display="Porcentaje de sectores con acompañamiento para la reconversión hacia sistemas sostenibles de producción" xr:uid="{5016C848-0F85-4302-8A7B-D5D09B82C4D9}"/>
    <hyperlink ref="B24" location="'19GAU'!_Toc467769486" display="Porcentaje de ejecución de acciones en Gestión Ambiental Urbana" xr:uid="{187EF4C6-E169-493C-A5E0-4281789CB2A8}"/>
    <hyperlink ref="B25" location="'20Negoc'!_Toc467769487" display="Implementación del Programa Regional de Negocios Verdes por la autoridad ambiental" xr:uid="{DEA2A013-3BF8-4CC8-94BC-00C30225DE76}"/>
    <hyperlink ref="B27" location="'22Autor'!_Toc467769489" display="Porcentaje de autorizaciones ambientales con seguimiento" xr:uid="{18C5A0DC-0FAB-4ECA-909F-E63786A4752D}"/>
    <hyperlink ref="B28" location="'23Sanc'!_Toc467769490" display="Porcentaje de Procesos Sancionatorios Resueltos" xr:uid="{82B20D85-D168-4434-9596-F517DD8C1BBE}"/>
    <hyperlink ref="B29" location="'24POT'!_Toc467769491" display="Porcentaje de municipios asesorados o asistidos en la inclusión del componente ambiental en los procesos de planificación y ordenamiento territorial, con énfasis en la incorporación de las determinantes ambientales para la revisión y ajuste de los POT" xr:uid="{34BF9053-E1B3-46DF-BA17-39F6D3497CEB}"/>
    <hyperlink ref="B30" location="'25Redes'!_Toc467769492" display="Porcentaje de redes y estaciones de monitoreo en operación" xr:uid="{351FC5F4-76F4-4F00-8D48-3E71080DAE18}"/>
    <hyperlink ref="B31" location="'26SIAC'!_Toc467769493" display="Porcentaje de actualización y reporte de la información en el SIAC" xr:uid="{D521F6E8-F059-474F-B2BE-A2D9D09F8D99}"/>
    <hyperlink ref="B32" location="'27Educa'!_Toc467769494" display="Ejecución de Acciones en Educación Ambiental" xr:uid="{6A65556D-D17D-4D3B-9494-24B54C81CD85}"/>
    <hyperlink ref="B26" location="'21TiempoT'!_Toc467769488" display="Tiempo promedio de trámite para la resolución de autorizaciones ambientales otorgadas por la corporación" xr:uid="{B3A17152-8A2E-48F1-8CEF-86E92B3363FA}"/>
  </hyperlinks>
  <pageMargins left="0.7" right="0.7" top="0.75" bottom="0.75" header="0.3" footer="0.3"/>
  <pageSetup paperSize="178" orientation="portrait"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15C5B-7DB6-4F8D-B4FB-D5FEECAF9AFB}">
  <dimension ref="A1:U214"/>
  <sheetViews>
    <sheetView showGridLines="0" topLeftCell="A81" zoomScale="98" zoomScaleNormal="98" workbookViewId="0">
      <selection activeCell="B107" sqref="B107:B113"/>
    </sheetView>
  </sheetViews>
  <sheetFormatPr baseColWidth="10" defaultColWidth="11.5703125" defaultRowHeight="15" x14ac:dyDescent="0.25"/>
  <cols>
    <col min="1" max="1" width="1.85546875" customWidth="1"/>
    <col min="2" max="2" width="12.85546875" style="5" customWidth="1"/>
    <col min="3" max="3" width="5" style="87" bestFit="1" customWidth="1"/>
    <col min="4" max="4" width="34.85546875" customWidth="1"/>
    <col min="5" max="5" width="12.140625" customWidth="1"/>
    <col min="6" max="6" width="13.5703125" customWidth="1"/>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625</v>
      </c>
      <c r="B5" s="998"/>
      <c r="C5" s="998"/>
      <c r="D5" s="998"/>
      <c r="E5" s="998"/>
      <c r="F5" s="998"/>
      <c r="G5" s="998"/>
      <c r="H5" s="998"/>
      <c r="I5" s="998"/>
      <c r="J5" s="998"/>
      <c r="K5" s="998"/>
      <c r="L5" s="998"/>
      <c r="M5" s="998"/>
      <c r="N5" s="998"/>
      <c r="O5" s="998"/>
      <c r="P5" s="999"/>
    </row>
    <row r="6" spans="1:21" x14ac:dyDescent="0.25">
      <c r="B6" s="1" t="s">
        <v>626</v>
      </c>
      <c r="C6" s="76"/>
      <c r="D6" s="5"/>
      <c r="E6" s="392"/>
      <c r="F6" s="5" t="s">
        <v>627</v>
      </c>
      <c r="G6" s="5"/>
      <c r="H6" s="5"/>
      <c r="I6" s="5"/>
      <c r="J6" s="5"/>
      <c r="K6" s="5"/>
      <c r="L6" s="5"/>
    </row>
    <row r="7" spans="1:21" ht="15.75" thickBot="1" x14ac:dyDescent="0.3">
      <c r="B7" s="75"/>
      <c r="C7" s="77"/>
      <c r="D7" s="5"/>
      <c r="E7" s="17"/>
      <c r="F7" s="5" t="s">
        <v>628</v>
      </c>
      <c r="G7" s="5"/>
      <c r="H7" s="5"/>
      <c r="I7" s="5"/>
      <c r="J7" s="5"/>
      <c r="K7" s="5"/>
      <c r="L7" s="5"/>
    </row>
    <row r="8" spans="1:21" ht="15.75" thickBot="1" x14ac:dyDescent="0.3">
      <c r="B8" s="170" t="s">
        <v>629</v>
      </c>
      <c r="C8" s="227">
        <v>2024</v>
      </c>
      <c r="D8" s="773" t="str">
        <f>IF(E10="NO APLICA","NO APLICA",IF(E11="NO SE REPORTA","SIN INFORMACION",+J99))</f>
        <v>N.A.</v>
      </c>
      <c r="E8" s="228"/>
      <c r="F8" s="5" t="s">
        <v>630</v>
      </c>
      <c r="G8" s="5"/>
      <c r="H8" s="5"/>
      <c r="I8" s="5"/>
      <c r="J8" s="5"/>
      <c r="K8" s="5"/>
    </row>
    <row r="9" spans="1:21" x14ac:dyDescent="0.25">
      <c r="B9" s="358" t="s">
        <v>631</v>
      </c>
      <c r="C9" s="88"/>
      <c r="D9" s="5"/>
      <c r="E9" s="5"/>
      <c r="F9" s="5"/>
      <c r="G9" s="5"/>
      <c r="H9" s="5"/>
      <c r="I9" s="5"/>
      <c r="J9" s="5"/>
      <c r="K9" s="5"/>
    </row>
    <row r="10" spans="1:21" x14ac:dyDescent="0.25">
      <c r="B10" s="1008" t="s">
        <v>632</v>
      </c>
      <c r="C10" s="1008"/>
      <c r="D10" s="1008"/>
      <c r="E10" s="361" t="s">
        <v>633</v>
      </c>
      <c r="F10" s="995"/>
      <c r="G10" s="996"/>
      <c r="H10" s="996"/>
      <c r="I10" s="996"/>
      <c r="J10" s="996"/>
      <c r="K10" s="996"/>
      <c r="L10" s="996"/>
      <c r="M10" s="996"/>
      <c r="N10" s="996"/>
      <c r="O10" s="996"/>
      <c r="P10" s="996"/>
      <c r="Q10" s="996"/>
      <c r="R10" s="996"/>
      <c r="S10" s="996"/>
      <c r="T10" s="5"/>
      <c r="U10" s="5"/>
    </row>
    <row r="11" spans="1:21" ht="14.45" customHeight="1" x14ac:dyDescent="0.25">
      <c r="B11" s="360"/>
      <c r="C11" s="88"/>
      <c r="D11" s="171" t="str">
        <f>IF(E10="SI APLICA","¿El indicador no se reporta por limitaciones de información disponible? ","")</f>
        <v xml:space="preserve">¿El indicador no se reporta por limitaciones de información disponible? </v>
      </c>
      <c r="E11" s="362" t="s">
        <v>634</v>
      </c>
      <c r="F11" s="1009"/>
      <c r="G11" s="1010"/>
      <c r="H11" s="1010"/>
      <c r="I11" s="1010"/>
      <c r="J11" s="1010"/>
      <c r="K11" s="1010"/>
      <c r="L11" s="1010"/>
      <c r="M11" s="1010"/>
      <c r="N11" s="1010"/>
      <c r="O11" s="1010"/>
      <c r="P11" s="1010"/>
      <c r="Q11" s="1010"/>
      <c r="R11" s="1010"/>
      <c r="S11" s="1010"/>
    </row>
    <row r="12" spans="1:21" ht="39" customHeight="1" x14ac:dyDescent="0.25">
      <c r="B12" s="358"/>
      <c r="C12" s="88"/>
      <c r="D12" s="379" t="str">
        <f>IF(E11="SI SE REPORTA","¿Qué programas o proyectos del Plan de Acción están asociados al indicador? ","")</f>
        <v xml:space="preserve">¿Qué programas o proyectos del Plan de Acción están asociados al indicador? </v>
      </c>
      <c r="E12" s="1011" t="s">
        <v>2269</v>
      </c>
      <c r="F12" s="1011"/>
      <c r="G12" s="1011"/>
      <c r="H12" s="1011"/>
      <c r="I12" s="1011"/>
      <c r="J12" s="1011"/>
      <c r="K12" s="1011"/>
      <c r="L12" s="1011"/>
      <c r="M12" s="1011"/>
      <c r="N12" s="1011"/>
      <c r="O12" s="1011"/>
      <c r="P12" s="1011"/>
      <c r="Q12" s="1011"/>
      <c r="R12" s="1011"/>
    </row>
    <row r="13" spans="1:21" ht="21.95" customHeight="1" x14ac:dyDescent="0.25">
      <c r="B13" s="358"/>
      <c r="C13" s="88"/>
      <c r="D13" s="171" t="s">
        <v>635</v>
      </c>
      <c r="E13" s="1012"/>
      <c r="F13" s="1013"/>
      <c r="G13" s="1013"/>
      <c r="H13" s="1013"/>
      <c r="I13" s="1013"/>
      <c r="J13" s="1013"/>
      <c r="K13" s="1013"/>
      <c r="L13" s="1013"/>
      <c r="M13" s="1013"/>
      <c r="N13" s="1013"/>
      <c r="O13" s="1013"/>
      <c r="P13" s="1013"/>
      <c r="Q13" s="1013"/>
      <c r="R13" s="1014"/>
    </row>
    <row r="14" spans="1:21" ht="6.95" customHeight="1" thickBot="1" x14ac:dyDescent="0.3">
      <c r="B14" s="358"/>
      <c r="C14" s="88"/>
      <c r="D14" s="5"/>
      <c r="E14" s="5"/>
      <c r="F14" s="5"/>
      <c r="G14" s="5"/>
      <c r="H14" s="5"/>
      <c r="I14" s="5"/>
      <c r="J14" s="5"/>
      <c r="K14" s="5"/>
    </row>
    <row r="15" spans="1:21" ht="15.6" customHeight="1" thickBot="1" x14ac:dyDescent="0.3">
      <c r="B15" s="950" t="s">
        <v>636</v>
      </c>
      <c r="C15" s="102"/>
      <c r="D15" s="956" t="s">
        <v>637</v>
      </c>
      <c r="E15" s="957"/>
      <c r="F15" s="957"/>
      <c r="G15" s="957"/>
      <c r="H15" s="957"/>
      <c r="I15" s="957"/>
      <c r="J15" s="957"/>
      <c r="K15" s="958"/>
    </row>
    <row r="16" spans="1:21" ht="36.75" thickBot="1" x14ac:dyDescent="0.3">
      <c r="B16" s="951"/>
      <c r="C16" s="108"/>
      <c r="D16" s="43" t="s">
        <v>638</v>
      </c>
      <c r="E16" s="206">
        <v>19</v>
      </c>
      <c r="F16" s="5"/>
      <c r="G16" s="5"/>
      <c r="H16" s="5"/>
      <c r="I16" s="5"/>
      <c r="J16" s="5"/>
      <c r="K16" s="21"/>
    </row>
    <row r="17" spans="2:11" ht="36.75" thickBot="1" x14ac:dyDescent="0.3">
      <c r="B17" s="951"/>
      <c r="C17" s="108"/>
      <c r="D17" s="40" t="s">
        <v>639</v>
      </c>
      <c r="E17" s="206">
        <v>1</v>
      </c>
      <c r="F17" s="5"/>
      <c r="G17" s="5"/>
      <c r="H17" s="5"/>
      <c r="I17" s="5"/>
      <c r="J17" s="5"/>
      <c r="K17" s="21"/>
    </row>
    <row r="18" spans="2:11" ht="48.75" thickBot="1" x14ac:dyDescent="0.3">
      <c r="B18" s="951"/>
      <c r="C18" s="108"/>
      <c r="D18" s="40" t="s">
        <v>640</v>
      </c>
      <c r="E18" s="206">
        <v>9</v>
      </c>
      <c r="F18" s="5"/>
      <c r="G18" s="5"/>
      <c r="H18" s="5"/>
      <c r="I18" s="5"/>
      <c r="J18" s="5"/>
      <c r="K18" s="21"/>
    </row>
    <row r="19" spans="2:11" ht="24.75" thickBot="1" x14ac:dyDescent="0.3">
      <c r="B19" s="951"/>
      <c r="C19" s="108"/>
      <c r="D19" s="40" t="s">
        <v>641</v>
      </c>
      <c r="E19" s="206">
        <v>1</v>
      </c>
      <c r="F19" s="5"/>
      <c r="G19" s="5"/>
      <c r="H19" s="5"/>
      <c r="I19" s="5"/>
      <c r="J19" s="5"/>
      <c r="K19" s="21"/>
    </row>
    <row r="20" spans="2:11" ht="24.75" thickBot="1" x14ac:dyDescent="0.3">
      <c r="B20" s="951"/>
      <c r="C20" s="108"/>
      <c r="D20" s="40" t="s">
        <v>642</v>
      </c>
      <c r="E20" s="206">
        <v>3</v>
      </c>
      <c r="F20" s="5"/>
      <c r="G20" s="5"/>
      <c r="H20" s="5"/>
      <c r="I20" s="5"/>
      <c r="J20" s="5"/>
      <c r="K20" s="21"/>
    </row>
    <row r="21" spans="2:11" ht="24.75" thickBot="1" x14ac:dyDescent="0.3">
      <c r="B21" s="952"/>
      <c r="C21" s="108"/>
      <c r="D21" s="40" t="s">
        <v>643</v>
      </c>
      <c r="E21" s="206">
        <v>3</v>
      </c>
      <c r="F21" s="5"/>
      <c r="G21" s="5"/>
      <c r="H21" s="5"/>
      <c r="I21" s="5"/>
      <c r="J21" s="5"/>
      <c r="K21" s="21"/>
    </row>
    <row r="22" spans="2:11" ht="14.1" customHeight="1" x14ac:dyDescent="0.25">
      <c r="B22" s="269"/>
      <c r="C22" s="103"/>
      <c r="D22" s="959" t="s">
        <v>644</v>
      </c>
      <c r="E22" s="960"/>
      <c r="F22" s="960"/>
      <c r="G22" s="960"/>
      <c r="H22" s="960"/>
      <c r="I22" s="960"/>
      <c r="J22" s="960"/>
      <c r="K22" s="961"/>
    </row>
    <row r="23" spans="2:11" ht="14.1" customHeight="1" thickBot="1" x14ac:dyDescent="0.3">
      <c r="B23" s="269"/>
      <c r="C23" s="103"/>
      <c r="D23" s="959" t="s">
        <v>645</v>
      </c>
      <c r="E23" s="960"/>
      <c r="F23" s="960"/>
      <c r="G23" s="960"/>
      <c r="H23" s="960"/>
      <c r="I23" s="960"/>
      <c r="J23" s="960"/>
      <c r="K23" s="961"/>
    </row>
    <row r="24" spans="2:11" ht="54" customHeight="1" thickBot="1" x14ac:dyDescent="0.3">
      <c r="B24" s="269"/>
      <c r="C24" s="8"/>
      <c r="D24" s="98" t="s">
        <v>646</v>
      </c>
      <c r="E24" s="98" t="s">
        <v>647</v>
      </c>
      <c r="F24" s="98" t="s">
        <v>648</v>
      </c>
      <c r="G24" s="98" t="s">
        <v>649</v>
      </c>
      <c r="H24" s="260" t="s">
        <v>650</v>
      </c>
      <c r="I24" s="260" t="s">
        <v>651</v>
      </c>
      <c r="J24" s="772" t="s">
        <v>2300</v>
      </c>
      <c r="K24" s="19"/>
    </row>
    <row r="25" spans="2:11" s="188" customFormat="1" ht="14.1" customHeight="1" thickBot="1" x14ac:dyDescent="0.3">
      <c r="B25" s="221"/>
      <c r="C25" s="8">
        <v>1</v>
      </c>
      <c r="D25" s="160" t="s">
        <v>652</v>
      </c>
      <c r="E25" s="160" t="s">
        <v>2270</v>
      </c>
      <c r="F25" s="160" t="s">
        <v>2271</v>
      </c>
      <c r="G25" s="337" t="s">
        <v>2272</v>
      </c>
      <c r="H25" s="29" t="s">
        <v>2273</v>
      </c>
      <c r="I25" s="223">
        <v>1</v>
      </c>
      <c r="J25" s="763"/>
      <c r="K25" s="19"/>
    </row>
    <row r="26" spans="2:11" s="188" customFormat="1" ht="14.1" customHeight="1" thickBot="1" x14ac:dyDescent="0.3">
      <c r="B26" s="221"/>
      <c r="C26" s="8">
        <v>2</v>
      </c>
      <c r="D26" s="160" t="s">
        <v>652</v>
      </c>
      <c r="E26" s="160" t="s">
        <v>2274</v>
      </c>
      <c r="F26" s="160" t="s">
        <v>2275</v>
      </c>
      <c r="G26" s="337" t="s">
        <v>2276</v>
      </c>
      <c r="H26" s="29" t="s">
        <v>2273</v>
      </c>
      <c r="I26" s="223">
        <v>1</v>
      </c>
      <c r="J26" s="764" t="s">
        <v>2277</v>
      </c>
      <c r="K26" s="19"/>
    </row>
    <row r="27" spans="2:11" s="188" customFormat="1" ht="14.1" customHeight="1" thickBot="1" x14ac:dyDescent="0.3">
      <c r="B27" s="221"/>
      <c r="C27" s="8">
        <v>3</v>
      </c>
      <c r="D27" s="160" t="s">
        <v>652</v>
      </c>
      <c r="E27" s="160" t="s">
        <v>2278</v>
      </c>
      <c r="F27" s="160" t="s">
        <v>2279</v>
      </c>
      <c r="G27" s="337" t="s">
        <v>2280</v>
      </c>
      <c r="H27" s="29" t="s">
        <v>2273</v>
      </c>
      <c r="I27" s="223">
        <v>1</v>
      </c>
      <c r="J27" s="764"/>
      <c r="K27" s="19"/>
    </row>
    <row r="28" spans="2:11" s="188" customFormat="1" ht="14.1" customHeight="1" thickBot="1" x14ac:dyDescent="0.3">
      <c r="B28" s="221"/>
      <c r="C28" s="8">
        <v>4</v>
      </c>
      <c r="D28" s="160" t="s">
        <v>652</v>
      </c>
      <c r="E28" s="160" t="s">
        <v>2281</v>
      </c>
      <c r="F28" s="160" t="s">
        <v>2282</v>
      </c>
      <c r="G28" s="186"/>
      <c r="H28" s="29" t="s">
        <v>2273</v>
      </c>
      <c r="I28" s="223">
        <v>1</v>
      </c>
      <c r="J28" s="764" t="s">
        <v>2283</v>
      </c>
      <c r="K28" s="19"/>
    </row>
    <row r="29" spans="2:11" s="188" customFormat="1" ht="14.1" customHeight="1" thickBot="1" x14ac:dyDescent="0.3">
      <c r="B29" s="221"/>
      <c r="C29" s="8">
        <v>5</v>
      </c>
      <c r="D29" s="160" t="s">
        <v>652</v>
      </c>
      <c r="E29" s="160">
        <v>1605</v>
      </c>
      <c r="F29" s="160" t="s">
        <v>2284</v>
      </c>
      <c r="G29" s="186"/>
      <c r="H29" s="29" t="s">
        <v>2273</v>
      </c>
      <c r="I29" s="223">
        <v>1</v>
      </c>
      <c r="J29" s="764" t="s">
        <v>2285</v>
      </c>
      <c r="K29" s="19"/>
    </row>
    <row r="30" spans="2:11" s="188" customFormat="1" ht="14.1" customHeight="1" thickBot="1" x14ac:dyDescent="0.3">
      <c r="B30" s="221"/>
      <c r="C30" s="8">
        <v>6</v>
      </c>
      <c r="D30" s="160" t="s">
        <v>652</v>
      </c>
      <c r="E30" s="160" t="s">
        <v>2286</v>
      </c>
      <c r="F30" s="160" t="s">
        <v>2287</v>
      </c>
      <c r="G30" s="186">
        <v>11536700</v>
      </c>
      <c r="H30" s="29" t="s">
        <v>2273</v>
      </c>
      <c r="I30" s="223">
        <v>1</v>
      </c>
      <c r="J30" s="764" t="s">
        <v>2285</v>
      </c>
      <c r="K30" s="19"/>
    </row>
    <row r="31" spans="2:11" s="188" customFormat="1" ht="14.1" customHeight="1" thickBot="1" x14ac:dyDescent="0.3">
      <c r="B31" s="221"/>
      <c r="C31" s="8">
        <v>7</v>
      </c>
      <c r="D31" s="160" t="s">
        <v>652</v>
      </c>
      <c r="E31" s="160">
        <v>2907</v>
      </c>
      <c r="F31" s="160" t="s">
        <v>2288</v>
      </c>
      <c r="G31" s="337" t="s">
        <v>2276</v>
      </c>
      <c r="H31" s="29" t="s">
        <v>2273</v>
      </c>
      <c r="I31" s="223">
        <v>1</v>
      </c>
      <c r="J31" s="764" t="s">
        <v>2277</v>
      </c>
      <c r="K31" s="19"/>
    </row>
    <row r="32" spans="2:11" s="188" customFormat="1" ht="14.1" customHeight="1" thickBot="1" x14ac:dyDescent="0.3">
      <c r="B32" s="221"/>
      <c r="C32" s="8">
        <v>8</v>
      </c>
      <c r="D32" s="160" t="s">
        <v>652</v>
      </c>
      <c r="E32" s="160" t="s">
        <v>2289</v>
      </c>
      <c r="F32" s="160" t="s">
        <v>2290</v>
      </c>
      <c r="G32" s="186">
        <v>63877</v>
      </c>
      <c r="H32" s="29" t="s">
        <v>2273</v>
      </c>
      <c r="I32" s="223">
        <v>1</v>
      </c>
      <c r="J32" s="764" t="s">
        <v>2291</v>
      </c>
      <c r="K32" s="19"/>
    </row>
    <row r="33" spans="2:11" s="188" customFormat="1" ht="14.1" customHeight="1" thickBot="1" x14ac:dyDescent="0.3">
      <c r="B33" s="221"/>
      <c r="C33" s="8">
        <v>9</v>
      </c>
      <c r="D33" s="160" t="s">
        <v>652</v>
      </c>
      <c r="E33" s="160" t="s">
        <v>2292</v>
      </c>
      <c r="F33" s="160" t="s">
        <v>2293</v>
      </c>
      <c r="G33" s="186">
        <v>69870</v>
      </c>
      <c r="H33" s="29" t="s">
        <v>2273</v>
      </c>
      <c r="I33" s="223">
        <v>1</v>
      </c>
      <c r="J33" s="763"/>
      <c r="K33" s="19"/>
    </row>
    <row r="34" spans="2:11" s="188" customFormat="1" ht="14.1" customHeight="1" thickBot="1" x14ac:dyDescent="0.3">
      <c r="B34" s="221"/>
      <c r="C34" s="8">
        <v>10</v>
      </c>
      <c r="D34" s="160" t="s">
        <v>653</v>
      </c>
      <c r="E34" s="160">
        <v>0</v>
      </c>
      <c r="F34" s="160" t="s">
        <v>2294</v>
      </c>
      <c r="G34" s="186">
        <v>859300</v>
      </c>
      <c r="H34" s="29" t="s">
        <v>2273</v>
      </c>
      <c r="I34" s="223">
        <v>1</v>
      </c>
      <c r="J34" s="763"/>
      <c r="K34" s="19"/>
    </row>
    <row r="35" spans="2:11" s="188" customFormat="1" ht="14.1" customHeight="1" thickBot="1" x14ac:dyDescent="0.3">
      <c r="B35" s="221"/>
      <c r="C35" s="8">
        <v>11</v>
      </c>
      <c r="D35" s="160" t="s">
        <v>654</v>
      </c>
      <c r="E35" s="160">
        <v>0</v>
      </c>
      <c r="F35" s="160" t="s">
        <v>2295</v>
      </c>
      <c r="G35" s="186">
        <v>7705</v>
      </c>
      <c r="H35" s="29" t="s">
        <v>2296</v>
      </c>
      <c r="I35" s="223">
        <v>1</v>
      </c>
      <c r="J35" s="763"/>
      <c r="K35" s="19"/>
    </row>
    <row r="36" spans="2:11" s="188" customFormat="1" ht="14.1" customHeight="1" thickBot="1" x14ac:dyDescent="0.3">
      <c r="B36" s="221"/>
      <c r="C36" s="8">
        <v>12</v>
      </c>
      <c r="D36" s="160" t="s">
        <v>654</v>
      </c>
      <c r="E36" s="160">
        <v>0</v>
      </c>
      <c r="F36" s="160" t="s">
        <v>2297</v>
      </c>
      <c r="G36" s="186"/>
      <c r="H36" s="29" t="s">
        <v>2298</v>
      </c>
      <c r="I36" s="223">
        <v>0.5</v>
      </c>
      <c r="J36" s="763"/>
      <c r="K36" s="19"/>
    </row>
    <row r="37" spans="2:11" s="188" customFormat="1" ht="14.1" customHeight="1" thickBot="1" x14ac:dyDescent="0.3">
      <c r="B37" s="221"/>
      <c r="C37" s="8">
        <v>13</v>
      </c>
      <c r="D37" s="160" t="s">
        <v>654</v>
      </c>
      <c r="E37" s="160"/>
      <c r="F37" s="160" t="s">
        <v>2299</v>
      </c>
      <c r="G37" s="186"/>
      <c r="H37" s="29" t="s">
        <v>2273</v>
      </c>
      <c r="I37" s="223">
        <v>1</v>
      </c>
      <c r="J37" s="763"/>
      <c r="K37" s="19"/>
    </row>
    <row r="38" spans="2:11" ht="14.1" customHeight="1" x14ac:dyDescent="0.25">
      <c r="B38" s="269"/>
      <c r="C38" s="103"/>
      <c r="D38" s="962" t="s">
        <v>655</v>
      </c>
      <c r="E38" s="963"/>
      <c r="F38" s="963"/>
      <c r="G38" s="963"/>
      <c r="H38" s="963"/>
      <c r="I38" s="963"/>
      <c r="J38" s="963"/>
      <c r="K38" s="964"/>
    </row>
    <row r="39" spans="2:11" ht="14.1" customHeight="1" x14ac:dyDescent="0.25">
      <c r="B39" s="269"/>
      <c r="C39" s="103"/>
      <c r="D39" s="968" t="s">
        <v>656</v>
      </c>
      <c r="E39" s="969"/>
      <c r="F39" s="969"/>
      <c r="G39" s="969"/>
      <c r="H39" s="969"/>
      <c r="I39" s="969"/>
      <c r="J39" s="969"/>
      <c r="K39" s="970"/>
    </row>
    <row r="40" spans="2:11" ht="14.1" customHeight="1" x14ac:dyDescent="0.25">
      <c r="B40" s="269"/>
      <c r="C40" s="103"/>
      <c r="D40" s="968" t="s">
        <v>657</v>
      </c>
      <c r="E40" s="969"/>
      <c r="F40" s="969"/>
      <c r="G40" s="969"/>
      <c r="H40" s="969"/>
      <c r="I40" s="969"/>
      <c r="J40" s="969"/>
      <c r="K40" s="970"/>
    </row>
    <row r="41" spans="2:11" ht="14.1" customHeight="1" x14ac:dyDescent="0.25">
      <c r="B41" s="269"/>
      <c r="C41" s="103"/>
      <c r="D41" s="968" t="s">
        <v>658</v>
      </c>
      <c r="E41" s="969"/>
      <c r="F41" s="969"/>
      <c r="G41" s="969"/>
      <c r="H41" s="969"/>
      <c r="I41" s="969"/>
      <c r="J41" s="969"/>
      <c r="K41" s="970"/>
    </row>
    <row r="42" spans="2:11" ht="14.1" customHeight="1" thickBot="1" x14ac:dyDescent="0.3">
      <c r="B42" s="269"/>
      <c r="C42" s="103"/>
      <c r="D42" s="953" t="s">
        <v>659</v>
      </c>
      <c r="E42" s="954"/>
      <c r="F42" s="954"/>
      <c r="G42" s="954"/>
      <c r="H42" s="954"/>
      <c r="I42" s="954"/>
      <c r="J42" s="954"/>
      <c r="K42" s="955"/>
    </row>
    <row r="43" spans="2:11" ht="14.1" customHeight="1" thickBot="1" x14ac:dyDescent="0.3">
      <c r="B43" s="269"/>
      <c r="C43" s="98" t="s">
        <v>585</v>
      </c>
      <c r="D43" s="43" t="s">
        <v>646</v>
      </c>
      <c r="E43" s="43" t="s">
        <v>647</v>
      </c>
      <c r="F43" s="38" t="s">
        <v>648</v>
      </c>
      <c r="G43" s="90" t="s">
        <v>587</v>
      </c>
      <c r="H43" s="90" t="s">
        <v>588</v>
      </c>
      <c r="I43" s="90" t="s">
        <v>589</v>
      </c>
      <c r="J43" s="90" t="s">
        <v>590</v>
      </c>
      <c r="K43" s="114"/>
    </row>
    <row r="44" spans="2:11" s="188" customFormat="1" ht="14.1" customHeight="1" thickBot="1" x14ac:dyDescent="0.3">
      <c r="B44" s="221"/>
      <c r="C44" s="8">
        <v>1</v>
      </c>
      <c r="D44" s="160" t="s">
        <v>652</v>
      </c>
      <c r="E44" s="160"/>
      <c r="F44" s="160"/>
      <c r="G44" s="31"/>
      <c r="H44" s="31"/>
      <c r="I44" s="31"/>
      <c r="J44" s="31"/>
      <c r="K44" s="112"/>
    </row>
    <row r="45" spans="2:11" s="188" customFormat="1" ht="14.1" customHeight="1" thickBot="1" x14ac:dyDescent="0.3">
      <c r="B45" s="221"/>
      <c r="C45" s="8">
        <v>2</v>
      </c>
      <c r="D45" s="160" t="s">
        <v>652</v>
      </c>
      <c r="E45" s="160"/>
      <c r="F45" s="160"/>
      <c r="G45" s="31"/>
      <c r="H45" s="31"/>
      <c r="I45" s="31"/>
      <c r="J45" s="31"/>
      <c r="K45" s="112"/>
    </row>
    <row r="46" spans="2:11" s="188" customFormat="1" ht="14.1" customHeight="1" thickBot="1" x14ac:dyDescent="0.3">
      <c r="B46" s="221"/>
      <c r="C46" s="8">
        <v>3</v>
      </c>
      <c r="D46" s="160" t="s">
        <v>652</v>
      </c>
      <c r="E46" s="160"/>
      <c r="F46" s="160"/>
      <c r="G46" s="31"/>
      <c r="H46" s="31"/>
      <c r="I46" s="31"/>
      <c r="J46" s="31"/>
      <c r="K46" s="112"/>
    </row>
    <row r="47" spans="2:11" s="188" customFormat="1" ht="14.1" customHeight="1" thickBot="1" x14ac:dyDescent="0.3">
      <c r="B47" s="221"/>
      <c r="C47" s="8">
        <v>4</v>
      </c>
      <c r="D47" s="160" t="s">
        <v>653</v>
      </c>
      <c r="E47" s="160"/>
      <c r="F47" s="160"/>
      <c r="G47" s="31"/>
      <c r="H47" s="31"/>
      <c r="I47" s="31"/>
      <c r="J47" s="31"/>
      <c r="K47" s="112"/>
    </row>
    <row r="48" spans="2:11" s="188" customFormat="1" ht="14.1" customHeight="1" thickBot="1" x14ac:dyDescent="0.3">
      <c r="B48" s="221"/>
      <c r="C48" s="8">
        <v>5</v>
      </c>
      <c r="D48" s="160" t="s">
        <v>653</v>
      </c>
      <c r="E48" s="160"/>
      <c r="F48" s="160"/>
      <c r="G48" s="31"/>
      <c r="H48" s="31"/>
      <c r="I48" s="31"/>
      <c r="J48" s="31"/>
      <c r="K48" s="112"/>
    </row>
    <row r="49" spans="2:11" s="188" customFormat="1" ht="14.1" customHeight="1" thickBot="1" x14ac:dyDescent="0.3">
      <c r="B49" s="221"/>
      <c r="C49" s="8">
        <v>6</v>
      </c>
      <c r="D49" s="160" t="s">
        <v>652</v>
      </c>
      <c r="E49" s="160"/>
      <c r="F49" s="160"/>
      <c r="G49" s="31"/>
      <c r="H49" s="31"/>
      <c r="I49" s="31"/>
      <c r="J49" s="31"/>
      <c r="K49" s="112"/>
    </row>
    <row r="50" spans="2:11" s="188" customFormat="1" ht="14.1" customHeight="1" thickBot="1" x14ac:dyDescent="0.3">
      <c r="B50" s="221"/>
      <c r="C50" s="8">
        <v>7</v>
      </c>
      <c r="D50" s="160" t="s">
        <v>652</v>
      </c>
      <c r="E50" s="160"/>
      <c r="F50" s="160"/>
      <c r="G50" s="31"/>
      <c r="H50" s="31"/>
      <c r="I50" s="31"/>
      <c r="J50" s="31"/>
      <c r="K50" s="112"/>
    </row>
    <row r="51" spans="2:11" s="188" customFormat="1" ht="14.1" customHeight="1" thickBot="1" x14ac:dyDescent="0.3">
      <c r="B51" s="221"/>
      <c r="C51" s="8">
        <v>8</v>
      </c>
      <c r="D51" s="160" t="s">
        <v>653</v>
      </c>
      <c r="E51" s="160"/>
      <c r="F51" s="160"/>
      <c r="G51" s="31"/>
      <c r="H51" s="31"/>
      <c r="I51" s="31"/>
      <c r="J51" s="31"/>
      <c r="K51" s="112"/>
    </row>
    <row r="52" spans="2:11" s="188" customFormat="1" ht="14.1" customHeight="1" thickBot="1" x14ac:dyDescent="0.3">
      <c r="B52" s="221"/>
      <c r="C52" s="8">
        <v>9</v>
      </c>
      <c r="D52" s="160" t="s">
        <v>653</v>
      </c>
      <c r="E52" s="160"/>
      <c r="F52" s="160"/>
      <c r="G52" s="31"/>
      <c r="H52" s="31"/>
      <c r="I52" s="31"/>
      <c r="J52" s="31"/>
      <c r="K52" s="112"/>
    </row>
    <row r="53" spans="2:11" s="188" customFormat="1" ht="14.1" customHeight="1" thickBot="1" x14ac:dyDescent="0.3">
      <c r="B53" s="221"/>
      <c r="C53" s="8">
        <v>10</v>
      </c>
      <c r="D53" s="160" t="s">
        <v>652</v>
      </c>
      <c r="E53" s="160"/>
      <c r="F53" s="160"/>
      <c r="G53" s="31"/>
      <c r="H53" s="31"/>
      <c r="I53" s="31"/>
      <c r="J53" s="31"/>
      <c r="K53" s="112"/>
    </row>
    <row r="54" spans="2:11" s="188" customFormat="1" ht="14.1" customHeight="1" thickBot="1" x14ac:dyDescent="0.3">
      <c r="B54" s="221"/>
      <c r="C54" s="8">
        <v>11</v>
      </c>
      <c r="D54" s="160" t="s">
        <v>652</v>
      </c>
      <c r="E54" s="160"/>
      <c r="F54" s="160"/>
      <c r="G54" s="31"/>
      <c r="H54" s="31"/>
      <c r="I54" s="31"/>
      <c r="J54" s="31"/>
      <c r="K54" s="112"/>
    </row>
    <row r="55" spans="2:11" s="188" customFormat="1" ht="14.1" customHeight="1" thickBot="1" x14ac:dyDescent="0.3">
      <c r="B55" s="221"/>
      <c r="C55" s="8">
        <v>12</v>
      </c>
      <c r="D55" s="160" t="s">
        <v>653</v>
      </c>
      <c r="E55" s="160"/>
      <c r="F55" s="160"/>
      <c r="G55" s="31"/>
      <c r="H55" s="31"/>
      <c r="I55" s="31"/>
      <c r="J55" s="31"/>
      <c r="K55" s="112"/>
    </row>
    <row r="56" spans="2:11" s="188" customFormat="1" ht="14.1" customHeight="1" thickBot="1" x14ac:dyDescent="0.3">
      <c r="B56" s="221"/>
      <c r="C56" s="8">
        <v>13</v>
      </c>
      <c r="D56" s="160" t="s">
        <v>653</v>
      </c>
      <c r="E56" s="160"/>
      <c r="F56" s="160"/>
      <c r="G56" s="31"/>
      <c r="H56" s="31"/>
      <c r="I56" s="31"/>
      <c r="J56" s="31"/>
      <c r="K56" s="112"/>
    </row>
    <row r="57" spans="2:11" s="188" customFormat="1" ht="14.1" customHeight="1" thickBot="1" x14ac:dyDescent="0.3">
      <c r="B57" s="221"/>
      <c r="C57" s="8">
        <v>14</v>
      </c>
      <c r="D57" s="160" t="s">
        <v>654</v>
      </c>
      <c r="E57" s="160"/>
      <c r="F57" s="160"/>
      <c r="G57" s="31"/>
      <c r="H57" s="31"/>
      <c r="I57" s="31"/>
      <c r="J57" s="31"/>
      <c r="K57" s="113"/>
    </row>
    <row r="58" spans="2:11" ht="14.1" customHeight="1" x14ac:dyDescent="0.25">
      <c r="B58" s="269"/>
      <c r="C58" s="103"/>
      <c r="D58" s="956" t="s">
        <v>660</v>
      </c>
      <c r="E58" s="957"/>
      <c r="F58" s="957"/>
      <c r="G58" s="957"/>
      <c r="H58" s="957"/>
      <c r="I58" s="957"/>
      <c r="J58" s="957"/>
      <c r="K58" s="958"/>
    </row>
    <row r="59" spans="2:11" ht="14.1" customHeight="1" thickBot="1" x14ac:dyDescent="0.3">
      <c r="B59" s="269"/>
      <c r="C59" s="103"/>
      <c r="D59" s="953" t="s">
        <v>661</v>
      </c>
      <c r="E59" s="954"/>
      <c r="F59" s="954"/>
      <c r="G59" s="954"/>
      <c r="H59" s="954"/>
      <c r="I59" s="954"/>
      <c r="J59" s="954"/>
      <c r="K59" s="955"/>
    </row>
    <row r="60" spans="2:11" ht="14.1" customHeight="1" thickBot="1" x14ac:dyDescent="0.3">
      <c r="B60" s="269"/>
      <c r="C60" s="98" t="s">
        <v>585</v>
      </c>
      <c r="D60" s="43" t="s">
        <v>646</v>
      </c>
      <c r="E60" s="43" t="s">
        <v>662</v>
      </c>
      <c r="F60" s="38" t="s">
        <v>648</v>
      </c>
      <c r="G60" s="90" t="s">
        <v>587</v>
      </c>
      <c r="H60" s="90" t="s">
        <v>588</v>
      </c>
      <c r="I60" s="90" t="s">
        <v>589</v>
      </c>
      <c r="J60" s="90" t="s">
        <v>590</v>
      </c>
      <c r="K60" s="114"/>
    </row>
    <row r="61" spans="2:11" s="188" customFormat="1" ht="14.1" customHeight="1" thickBot="1" x14ac:dyDescent="0.3">
      <c r="B61" s="221"/>
      <c r="C61" s="8">
        <v>1</v>
      </c>
      <c r="D61" s="224" t="str">
        <f t="shared" ref="D61:F74" si="0">IF(ISBLANK(D44),"",D44)</f>
        <v>POMCA</v>
      </c>
      <c r="E61" s="224" t="str">
        <f t="shared" si="0"/>
        <v/>
      </c>
      <c r="F61" s="224" t="str">
        <f t="shared" si="0"/>
        <v/>
      </c>
      <c r="G61" s="31"/>
      <c r="H61" s="31"/>
      <c r="I61" s="31"/>
      <c r="J61" s="31"/>
      <c r="K61" s="112"/>
    </row>
    <row r="62" spans="2:11" s="188" customFormat="1" ht="14.1" customHeight="1" thickBot="1" x14ac:dyDescent="0.3">
      <c r="B62" s="221"/>
      <c r="C62" s="8">
        <v>2</v>
      </c>
      <c r="D62" s="224" t="str">
        <f t="shared" si="0"/>
        <v>POMCA</v>
      </c>
      <c r="E62" s="224" t="str">
        <f t="shared" si="0"/>
        <v/>
      </c>
      <c r="F62" s="224" t="str">
        <f t="shared" si="0"/>
        <v/>
      </c>
      <c r="G62" s="31"/>
      <c r="H62" s="31"/>
      <c r="I62" s="31"/>
      <c r="J62" s="31"/>
      <c r="K62" s="112"/>
    </row>
    <row r="63" spans="2:11" s="188" customFormat="1" ht="14.1" customHeight="1" thickBot="1" x14ac:dyDescent="0.3">
      <c r="B63" s="221"/>
      <c r="C63" s="8">
        <v>3</v>
      </c>
      <c r="D63" s="224" t="str">
        <f t="shared" si="0"/>
        <v>POMCA</v>
      </c>
      <c r="E63" s="224" t="str">
        <f t="shared" si="0"/>
        <v/>
      </c>
      <c r="F63" s="224" t="str">
        <f t="shared" si="0"/>
        <v/>
      </c>
      <c r="G63" s="31"/>
      <c r="H63" s="31"/>
      <c r="I63" s="31"/>
      <c r="J63" s="31"/>
      <c r="K63" s="112"/>
    </row>
    <row r="64" spans="2:11" s="188" customFormat="1" ht="14.1" customHeight="1" thickBot="1" x14ac:dyDescent="0.3">
      <c r="B64" s="221"/>
      <c r="C64" s="8">
        <v>4</v>
      </c>
      <c r="D64" s="224" t="str">
        <f t="shared" si="0"/>
        <v>PMA</v>
      </c>
      <c r="E64" s="224" t="str">
        <f t="shared" si="0"/>
        <v/>
      </c>
      <c r="F64" s="224" t="str">
        <f t="shared" si="0"/>
        <v/>
      </c>
      <c r="G64" s="31"/>
      <c r="H64" s="31"/>
      <c r="I64" s="31"/>
      <c r="J64" s="31"/>
      <c r="K64" s="112"/>
    </row>
    <row r="65" spans="2:11" s="188" customFormat="1" ht="14.1" customHeight="1" thickBot="1" x14ac:dyDescent="0.3">
      <c r="B65" s="221"/>
      <c r="C65" s="8">
        <v>5</v>
      </c>
      <c r="D65" s="224" t="str">
        <f t="shared" si="0"/>
        <v>PMA</v>
      </c>
      <c r="E65" s="224" t="str">
        <f t="shared" si="0"/>
        <v/>
      </c>
      <c r="F65" s="224" t="str">
        <f t="shared" si="0"/>
        <v/>
      </c>
      <c r="G65" s="31"/>
      <c r="H65" s="31"/>
      <c r="I65" s="31"/>
      <c r="J65" s="31"/>
      <c r="K65" s="112"/>
    </row>
    <row r="66" spans="2:11" s="188" customFormat="1" ht="14.1" customHeight="1" thickBot="1" x14ac:dyDescent="0.3">
      <c r="B66" s="221"/>
      <c r="C66" s="8">
        <v>6</v>
      </c>
      <c r="D66" s="224" t="str">
        <f t="shared" si="0"/>
        <v>POMCA</v>
      </c>
      <c r="E66" s="224" t="str">
        <f t="shared" si="0"/>
        <v/>
      </c>
      <c r="F66" s="224" t="str">
        <f t="shared" si="0"/>
        <v/>
      </c>
      <c r="G66" s="31"/>
      <c r="H66" s="31"/>
      <c r="I66" s="31"/>
      <c r="J66" s="31"/>
      <c r="K66" s="112"/>
    </row>
    <row r="67" spans="2:11" s="188" customFormat="1" ht="14.1" customHeight="1" thickBot="1" x14ac:dyDescent="0.3">
      <c r="B67" s="221"/>
      <c r="C67" s="8">
        <v>7</v>
      </c>
      <c r="D67" s="224" t="str">
        <f t="shared" si="0"/>
        <v>POMCA</v>
      </c>
      <c r="E67" s="224" t="str">
        <f t="shared" si="0"/>
        <v/>
      </c>
      <c r="F67" s="224" t="str">
        <f t="shared" si="0"/>
        <v/>
      </c>
      <c r="G67" s="31"/>
      <c r="H67" s="31"/>
      <c r="I67" s="31"/>
      <c r="J67" s="31"/>
      <c r="K67" s="112"/>
    </row>
    <row r="68" spans="2:11" s="188" customFormat="1" ht="14.1" customHeight="1" thickBot="1" x14ac:dyDescent="0.3">
      <c r="B68" s="221"/>
      <c r="C68" s="8">
        <v>8</v>
      </c>
      <c r="D68" s="224" t="str">
        <f t="shared" si="0"/>
        <v>PMA</v>
      </c>
      <c r="E68" s="224" t="str">
        <f t="shared" si="0"/>
        <v/>
      </c>
      <c r="F68" s="224" t="str">
        <f t="shared" si="0"/>
        <v/>
      </c>
      <c r="G68" s="31"/>
      <c r="H68" s="31"/>
      <c r="I68" s="31"/>
      <c r="J68" s="31"/>
      <c r="K68" s="112"/>
    </row>
    <row r="69" spans="2:11" s="188" customFormat="1" ht="14.1" customHeight="1" thickBot="1" x14ac:dyDescent="0.3">
      <c r="B69" s="221"/>
      <c r="C69" s="8">
        <v>9</v>
      </c>
      <c r="D69" s="224" t="str">
        <f t="shared" si="0"/>
        <v>PMA</v>
      </c>
      <c r="E69" s="224" t="str">
        <f t="shared" si="0"/>
        <v/>
      </c>
      <c r="F69" s="224" t="str">
        <f t="shared" si="0"/>
        <v/>
      </c>
      <c r="G69" s="31"/>
      <c r="H69" s="31"/>
      <c r="I69" s="31"/>
      <c r="J69" s="31"/>
      <c r="K69" s="112"/>
    </row>
    <row r="70" spans="2:11" s="188" customFormat="1" ht="14.1" customHeight="1" thickBot="1" x14ac:dyDescent="0.3">
      <c r="B70" s="221"/>
      <c r="C70" s="8">
        <v>10</v>
      </c>
      <c r="D70" s="224" t="str">
        <f t="shared" si="0"/>
        <v>POMCA</v>
      </c>
      <c r="E70" s="224" t="str">
        <f t="shared" si="0"/>
        <v/>
      </c>
      <c r="F70" s="224" t="str">
        <f t="shared" si="0"/>
        <v/>
      </c>
      <c r="G70" s="31"/>
      <c r="H70" s="31"/>
      <c r="I70" s="31"/>
      <c r="J70" s="31"/>
      <c r="K70" s="112"/>
    </row>
    <row r="71" spans="2:11" s="188" customFormat="1" ht="14.1" customHeight="1" thickBot="1" x14ac:dyDescent="0.3">
      <c r="B71" s="221"/>
      <c r="C71" s="8">
        <v>11</v>
      </c>
      <c r="D71" s="224" t="str">
        <f t="shared" si="0"/>
        <v>POMCA</v>
      </c>
      <c r="E71" s="224" t="str">
        <f t="shared" si="0"/>
        <v/>
      </c>
      <c r="F71" s="224" t="str">
        <f t="shared" si="0"/>
        <v/>
      </c>
      <c r="G71" s="31"/>
      <c r="H71" s="31"/>
      <c r="I71" s="31"/>
      <c r="J71" s="31"/>
      <c r="K71" s="112"/>
    </row>
    <row r="72" spans="2:11" s="188" customFormat="1" ht="14.1" customHeight="1" thickBot="1" x14ac:dyDescent="0.3">
      <c r="B72" s="221"/>
      <c r="C72" s="8">
        <v>12</v>
      </c>
      <c r="D72" s="224" t="str">
        <f t="shared" si="0"/>
        <v>PMA</v>
      </c>
      <c r="E72" s="224" t="str">
        <f t="shared" si="0"/>
        <v/>
      </c>
      <c r="F72" s="224" t="str">
        <f t="shared" si="0"/>
        <v/>
      </c>
      <c r="G72" s="31"/>
      <c r="H72" s="31"/>
      <c r="I72" s="31"/>
      <c r="J72" s="31"/>
      <c r="K72" s="112"/>
    </row>
    <row r="73" spans="2:11" s="188" customFormat="1" ht="14.1" customHeight="1" thickBot="1" x14ac:dyDescent="0.3">
      <c r="B73" s="221"/>
      <c r="C73" s="8">
        <v>13</v>
      </c>
      <c r="D73" s="224" t="str">
        <f t="shared" si="0"/>
        <v>PMA</v>
      </c>
      <c r="E73" s="224" t="str">
        <f t="shared" si="0"/>
        <v/>
      </c>
      <c r="F73" s="224" t="str">
        <f t="shared" si="0"/>
        <v/>
      </c>
      <c r="G73" s="31"/>
      <c r="H73" s="31"/>
      <c r="I73" s="31"/>
      <c r="J73" s="31"/>
      <c r="K73" s="112"/>
    </row>
    <row r="74" spans="2:11" s="188" customFormat="1" ht="14.1" customHeight="1" thickBot="1" x14ac:dyDescent="0.3">
      <c r="B74" s="221"/>
      <c r="C74" s="8">
        <v>14</v>
      </c>
      <c r="D74" s="224" t="str">
        <f t="shared" si="0"/>
        <v>PMM</v>
      </c>
      <c r="E74" s="224" t="str">
        <f t="shared" si="0"/>
        <v/>
      </c>
      <c r="F74" s="224" t="str">
        <f t="shared" si="0"/>
        <v/>
      </c>
      <c r="G74" s="31"/>
      <c r="H74" s="31"/>
      <c r="I74" s="31"/>
      <c r="J74" s="31"/>
      <c r="K74" s="112"/>
    </row>
    <row r="75" spans="2:11" ht="14.1" customHeight="1" x14ac:dyDescent="0.25">
      <c r="B75" s="269"/>
      <c r="C75" s="103"/>
      <c r="D75" s="956" t="s">
        <v>655</v>
      </c>
      <c r="E75" s="957"/>
      <c r="F75" s="957"/>
      <c r="G75" s="957"/>
      <c r="H75" s="957"/>
      <c r="I75" s="957"/>
      <c r="J75" s="957"/>
      <c r="K75" s="958"/>
    </row>
    <row r="76" spans="2:11" ht="14.1" customHeight="1" x14ac:dyDescent="0.25">
      <c r="B76" s="269"/>
      <c r="C76" s="103"/>
      <c r="D76" s="962" t="s">
        <v>663</v>
      </c>
      <c r="E76" s="963"/>
      <c r="F76" s="963"/>
      <c r="G76" s="963"/>
      <c r="H76" s="963"/>
      <c r="I76" s="963"/>
      <c r="J76" s="963"/>
      <c r="K76" s="964"/>
    </row>
    <row r="77" spans="2:11" ht="14.1" customHeight="1" thickBot="1" x14ac:dyDescent="0.3">
      <c r="B77" s="269"/>
      <c r="C77" s="103"/>
      <c r="D77" s="953" t="s">
        <v>664</v>
      </c>
      <c r="E77" s="954"/>
      <c r="F77" s="954"/>
      <c r="G77" s="954"/>
      <c r="H77" s="954"/>
      <c r="I77" s="954"/>
      <c r="J77" s="954"/>
      <c r="K77" s="955"/>
    </row>
    <row r="78" spans="2:11" ht="14.1" customHeight="1" thickBot="1" x14ac:dyDescent="0.3">
      <c r="B78" s="269"/>
      <c r="C78" s="261" t="s">
        <v>585</v>
      </c>
      <c r="D78" s="70" t="s">
        <v>646</v>
      </c>
      <c r="E78" s="70" t="s">
        <v>662</v>
      </c>
      <c r="F78" s="67" t="s">
        <v>648</v>
      </c>
      <c r="G78" s="67" t="s">
        <v>587</v>
      </c>
      <c r="H78" s="67" t="s">
        <v>588</v>
      </c>
      <c r="I78" s="67" t="s">
        <v>589</v>
      </c>
      <c r="J78" s="67" t="s">
        <v>590</v>
      </c>
      <c r="K78" s="114"/>
    </row>
    <row r="79" spans="2:11" ht="14.1" customHeight="1" thickBot="1" x14ac:dyDescent="0.3">
      <c r="B79" s="269"/>
      <c r="C79" s="2">
        <v>1</v>
      </c>
      <c r="D79" s="262" t="str">
        <f t="shared" ref="D79:F92" si="1">IF(ISBLANK(D61),"",D61)</f>
        <v>POMCA</v>
      </c>
      <c r="E79" s="262" t="str">
        <f t="shared" si="1"/>
        <v/>
      </c>
      <c r="F79" s="262" t="str">
        <f t="shared" si="1"/>
        <v/>
      </c>
      <c r="G79" s="475" t="str">
        <f t="shared" ref="G79:J92" si="2">IFERROR(G61/G44,"N.A.")</f>
        <v>N.A.</v>
      </c>
      <c r="H79" s="263" t="str">
        <f t="shared" si="2"/>
        <v>N.A.</v>
      </c>
      <c r="I79" s="263" t="str">
        <f t="shared" si="2"/>
        <v>N.A.</v>
      </c>
      <c r="J79" s="263" t="str">
        <f t="shared" si="2"/>
        <v>N.A.</v>
      </c>
      <c r="K79" s="115"/>
    </row>
    <row r="80" spans="2:11" ht="14.1" customHeight="1" thickBot="1" x14ac:dyDescent="0.3">
      <c r="B80" s="269"/>
      <c r="C80" s="2">
        <v>2</v>
      </c>
      <c r="D80" s="262" t="str">
        <f t="shared" si="1"/>
        <v>POMCA</v>
      </c>
      <c r="E80" s="262" t="str">
        <f t="shared" si="1"/>
        <v/>
      </c>
      <c r="F80" s="262" t="str">
        <f t="shared" si="1"/>
        <v/>
      </c>
      <c r="G80" s="475" t="str">
        <f t="shared" si="2"/>
        <v>N.A.</v>
      </c>
      <c r="H80" s="263" t="str">
        <f t="shared" si="2"/>
        <v>N.A.</v>
      </c>
      <c r="I80" s="263" t="str">
        <f t="shared" si="2"/>
        <v>N.A.</v>
      </c>
      <c r="J80" s="263" t="str">
        <f t="shared" si="2"/>
        <v>N.A.</v>
      </c>
      <c r="K80" s="115"/>
    </row>
    <row r="81" spans="2:11" ht="14.1" customHeight="1" thickBot="1" x14ac:dyDescent="0.3">
      <c r="B81" s="269"/>
      <c r="C81" s="2">
        <v>3</v>
      </c>
      <c r="D81" s="262" t="str">
        <f t="shared" si="1"/>
        <v>POMCA</v>
      </c>
      <c r="E81" s="262" t="str">
        <f t="shared" si="1"/>
        <v/>
      </c>
      <c r="F81" s="262" t="str">
        <f t="shared" si="1"/>
        <v/>
      </c>
      <c r="G81" s="263" t="str">
        <f t="shared" si="2"/>
        <v>N.A.</v>
      </c>
      <c r="H81" s="263" t="str">
        <f t="shared" si="2"/>
        <v>N.A.</v>
      </c>
      <c r="I81" s="263" t="str">
        <f t="shared" si="2"/>
        <v>N.A.</v>
      </c>
      <c r="J81" s="263" t="str">
        <f t="shared" si="2"/>
        <v>N.A.</v>
      </c>
      <c r="K81" s="115"/>
    </row>
    <row r="82" spans="2:11" ht="14.1" customHeight="1" thickBot="1" x14ac:dyDescent="0.3">
      <c r="B82" s="269"/>
      <c r="C82" s="2">
        <v>4</v>
      </c>
      <c r="D82" s="262" t="str">
        <f t="shared" si="1"/>
        <v>PMA</v>
      </c>
      <c r="E82" s="262" t="str">
        <f t="shared" si="1"/>
        <v/>
      </c>
      <c r="F82" s="262" t="str">
        <f t="shared" si="1"/>
        <v/>
      </c>
      <c r="G82" s="263" t="str">
        <f t="shared" si="2"/>
        <v>N.A.</v>
      </c>
      <c r="H82" s="263" t="str">
        <f t="shared" si="2"/>
        <v>N.A.</v>
      </c>
      <c r="I82" s="263" t="str">
        <f t="shared" si="2"/>
        <v>N.A.</v>
      </c>
      <c r="J82" s="263" t="str">
        <f t="shared" si="2"/>
        <v>N.A.</v>
      </c>
      <c r="K82" s="115"/>
    </row>
    <row r="83" spans="2:11" ht="14.1" customHeight="1" thickBot="1" x14ac:dyDescent="0.3">
      <c r="B83" s="269"/>
      <c r="C83" s="2">
        <v>5</v>
      </c>
      <c r="D83" s="262" t="str">
        <f t="shared" si="1"/>
        <v>PMA</v>
      </c>
      <c r="E83" s="262" t="str">
        <f t="shared" si="1"/>
        <v/>
      </c>
      <c r="F83" s="262" t="str">
        <f t="shared" si="1"/>
        <v/>
      </c>
      <c r="G83" s="263" t="str">
        <f t="shared" si="2"/>
        <v>N.A.</v>
      </c>
      <c r="H83" s="263" t="str">
        <f t="shared" si="2"/>
        <v>N.A.</v>
      </c>
      <c r="I83" s="263" t="str">
        <f t="shared" si="2"/>
        <v>N.A.</v>
      </c>
      <c r="J83" s="263" t="str">
        <f t="shared" si="2"/>
        <v>N.A.</v>
      </c>
      <c r="K83" s="115"/>
    </row>
    <row r="84" spans="2:11" ht="14.1" customHeight="1" thickBot="1" x14ac:dyDescent="0.3">
      <c r="B84" s="269"/>
      <c r="C84" s="2">
        <v>6</v>
      </c>
      <c r="D84" s="262" t="str">
        <f t="shared" si="1"/>
        <v>POMCA</v>
      </c>
      <c r="E84" s="262" t="str">
        <f t="shared" si="1"/>
        <v/>
      </c>
      <c r="F84" s="262" t="str">
        <f t="shared" si="1"/>
        <v/>
      </c>
      <c r="G84" s="263" t="str">
        <f t="shared" si="2"/>
        <v>N.A.</v>
      </c>
      <c r="H84" s="263" t="str">
        <f t="shared" si="2"/>
        <v>N.A.</v>
      </c>
      <c r="I84" s="263" t="str">
        <f t="shared" si="2"/>
        <v>N.A.</v>
      </c>
      <c r="J84" s="263" t="str">
        <f t="shared" si="2"/>
        <v>N.A.</v>
      </c>
      <c r="K84" s="116"/>
    </row>
    <row r="85" spans="2:11" ht="14.1" customHeight="1" thickBot="1" x14ac:dyDescent="0.3">
      <c r="B85" s="269"/>
      <c r="C85" s="2">
        <v>7</v>
      </c>
      <c r="D85" s="262" t="str">
        <f t="shared" si="1"/>
        <v>POMCA</v>
      </c>
      <c r="E85" s="262" t="str">
        <f t="shared" si="1"/>
        <v/>
      </c>
      <c r="F85" s="262" t="str">
        <f t="shared" si="1"/>
        <v/>
      </c>
      <c r="G85" s="263" t="str">
        <f t="shared" si="2"/>
        <v>N.A.</v>
      </c>
      <c r="H85" s="263" t="str">
        <f t="shared" si="2"/>
        <v>N.A.</v>
      </c>
      <c r="I85" s="263" t="str">
        <f t="shared" si="2"/>
        <v>N.A.</v>
      </c>
      <c r="J85" s="263" t="str">
        <f t="shared" si="2"/>
        <v>N.A.</v>
      </c>
      <c r="K85" s="115"/>
    </row>
    <row r="86" spans="2:11" ht="14.1" customHeight="1" thickBot="1" x14ac:dyDescent="0.3">
      <c r="B86" s="269"/>
      <c r="C86" s="2">
        <v>8</v>
      </c>
      <c r="D86" s="262" t="str">
        <f t="shared" si="1"/>
        <v>PMA</v>
      </c>
      <c r="E86" s="262" t="str">
        <f t="shared" si="1"/>
        <v/>
      </c>
      <c r="F86" s="262" t="str">
        <f t="shared" si="1"/>
        <v/>
      </c>
      <c r="G86" s="263" t="str">
        <f t="shared" si="2"/>
        <v>N.A.</v>
      </c>
      <c r="H86" s="263" t="str">
        <f t="shared" si="2"/>
        <v>N.A.</v>
      </c>
      <c r="I86" s="263" t="str">
        <f t="shared" si="2"/>
        <v>N.A.</v>
      </c>
      <c r="J86" s="263" t="str">
        <f t="shared" si="2"/>
        <v>N.A.</v>
      </c>
      <c r="K86" s="115"/>
    </row>
    <row r="87" spans="2:11" ht="14.1" customHeight="1" thickBot="1" x14ac:dyDescent="0.3">
      <c r="B87" s="269"/>
      <c r="C87" s="2">
        <v>9</v>
      </c>
      <c r="D87" s="262" t="str">
        <f t="shared" si="1"/>
        <v>PMA</v>
      </c>
      <c r="E87" s="262" t="str">
        <f t="shared" si="1"/>
        <v/>
      </c>
      <c r="F87" s="262" t="str">
        <f t="shared" si="1"/>
        <v/>
      </c>
      <c r="G87" s="263" t="str">
        <f t="shared" si="2"/>
        <v>N.A.</v>
      </c>
      <c r="H87" s="263" t="str">
        <f t="shared" si="2"/>
        <v>N.A.</v>
      </c>
      <c r="I87" s="263" t="str">
        <f t="shared" si="2"/>
        <v>N.A.</v>
      </c>
      <c r="J87" s="263" t="str">
        <f t="shared" si="2"/>
        <v>N.A.</v>
      </c>
      <c r="K87" s="115"/>
    </row>
    <row r="88" spans="2:11" ht="14.1" customHeight="1" thickBot="1" x14ac:dyDescent="0.3">
      <c r="B88" s="269"/>
      <c r="C88" s="2">
        <v>10</v>
      </c>
      <c r="D88" s="262" t="str">
        <f t="shared" si="1"/>
        <v>POMCA</v>
      </c>
      <c r="E88" s="262" t="str">
        <f t="shared" si="1"/>
        <v/>
      </c>
      <c r="F88" s="262" t="str">
        <f t="shared" si="1"/>
        <v/>
      </c>
      <c r="G88" s="263" t="str">
        <f t="shared" si="2"/>
        <v>N.A.</v>
      </c>
      <c r="H88" s="263" t="str">
        <f t="shared" si="2"/>
        <v>N.A.</v>
      </c>
      <c r="I88" s="263" t="str">
        <f t="shared" si="2"/>
        <v>N.A.</v>
      </c>
      <c r="J88" s="263" t="str">
        <f t="shared" si="2"/>
        <v>N.A.</v>
      </c>
      <c r="K88" s="116"/>
    </row>
    <row r="89" spans="2:11" ht="14.1" customHeight="1" thickBot="1" x14ac:dyDescent="0.3">
      <c r="B89" s="269"/>
      <c r="C89" s="2">
        <v>11</v>
      </c>
      <c r="D89" s="262" t="str">
        <f t="shared" si="1"/>
        <v>POMCA</v>
      </c>
      <c r="E89" s="262" t="str">
        <f t="shared" si="1"/>
        <v/>
      </c>
      <c r="F89" s="262" t="str">
        <f t="shared" si="1"/>
        <v/>
      </c>
      <c r="G89" s="263" t="str">
        <f t="shared" si="2"/>
        <v>N.A.</v>
      </c>
      <c r="H89" s="263" t="str">
        <f t="shared" si="2"/>
        <v>N.A.</v>
      </c>
      <c r="I89" s="263" t="str">
        <f t="shared" si="2"/>
        <v>N.A.</v>
      </c>
      <c r="J89" s="263" t="str">
        <f t="shared" si="2"/>
        <v>N.A.</v>
      </c>
      <c r="K89" s="115"/>
    </row>
    <row r="90" spans="2:11" ht="14.1" customHeight="1" thickBot="1" x14ac:dyDescent="0.3">
      <c r="B90" s="269"/>
      <c r="C90" s="2">
        <v>12</v>
      </c>
      <c r="D90" s="262" t="str">
        <f t="shared" si="1"/>
        <v>PMA</v>
      </c>
      <c r="E90" s="262" t="str">
        <f t="shared" si="1"/>
        <v/>
      </c>
      <c r="F90" s="262" t="str">
        <f t="shared" si="1"/>
        <v/>
      </c>
      <c r="G90" s="263" t="str">
        <f t="shared" si="2"/>
        <v>N.A.</v>
      </c>
      <c r="H90" s="263" t="str">
        <f t="shared" si="2"/>
        <v>N.A.</v>
      </c>
      <c r="I90" s="263" t="str">
        <f t="shared" si="2"/>
        <v>N.A.</v>
      </c>
      <c r="J90" s="263" t="str">
        <f t="shared" si="2"/>
        <v>N.A.</v>
      </c>
      <c r="K90" s="115"/>
    </row>
    <row r="91" spans="2:11" ht="14.1" customHeight="1" thickBot="1" x14ac:dyDescent="0.3">
      <c r="B91" s="269"/>
      <c r="C91" s="2">
        <v>13</v>
      </c>
      <c r="D91" s="262" t="str">
        <f t="shared" si="1"/>
        <v>PMA</v>
      </c>
      <c r="E91" s="262" t="str">
        <f t="shared" si="1"/>
        <v/>
      </c>
      <c r="F91" s="262" t="str">
        <f t="shared" si="1"/>
        <v/>
      </c>
      <c r="G91" s="263" t="str">
        <f t="shared" si="2"/>
        <v>N.A.</v>
      </c>
      <c r="H91" s="263" t="str">
        <f t="shared" si="2"/>
        <v>N.A.</v>
      </c>
      <c r="I91" s="263" t="str">
        <f t="shared" si="2"/>
        <v>N.A.</v>
      </c>
      <c r="J91" s="263" t="str">
        <f t="shared" si="2"/>
        <v>N.A.</v>
      </c>
      <c r="K91" s="115"/>
    </row>
    <row r="92" spans="2:11" ht="14.1" customHeight="1" thickBot="1" x14ac:dyDescent="0.3">
      <c r="B92" s="269"/>
      <c r="C92" s="2">
        <v>14</v>
      </c>
      <c r="D92" s="262" t="str">
        <f t="shared" si="1"/>
        <v>PMM</v>
      </c>
      <c r="E92" s="262" t="str">
        <f t="shared" si="1"/>
        <v/>
      </c>
      <c r="F92" s="262" t="str">
        <f t="shared" si="1"/>
        <v/>
      </c>
      <c r="G92" s="263" t="str">
        <f t="shared" si="2"/>
        <v>N.A.</v>
      </c>
      <c r="H92" s="263" t="str">
        <f t="shared" si="2"/>
        <v>N.A.</v>
      </c>
      <c r="I92" s="263" t="str">
        <f t="shared" si="2"/>
        <v>N.A.</v>
      </c>
      <c r="J92" s="263" t="str">
        <f t="shared" si="2"/>
        <v>N.A.</v>
      </c>
      <c r="K92" s="116"/>
    </row>
    <row r="93" spans="2:11" ht="14.1" customHeight="1" x14ac:dyDescent="0.25">
      <c r="B93" s="269"/>
      <c r="C93" s="103"/>
      <c r="D93" s="965"/>
      <c r="E93" s="966"/>
      <c r="F93" s="966"/>
      <c r="G93" s="966"/>
      <c r="H93" s="966"/>
      <c r="I93" s="966"/>
      <c r="J93" s="966"/>
      <c r="K93" s="967"/>
    </row>
    <row r="94" spans="2:11" ht="14.1" customHeight="1" thickBot="1" x14ac:dyDescent="0.3">
      <c r="B94" s="269"/>
      <c r="C94" s="103"/>
      <c r="D94" s="953" t="s">
        <v>665</v>
      </c>
      <c r="E94" s="954"/>
      <c r="F94" s="954"/>
      <c r="G94" s="954"/>
      <c r="H94" s="954"/>
      <c r="I94" s="954"/>
      <c r="J94" s="954"/>
      <c r="K94" s="955"/>
    </row>
    <row r="95" spans="2:11" ht="14.1" customHeight="1" thickBot="1" x14ac:dyDescent="0.3">
      <c r="B95" s="269"/>
      <c r="C95" s="264" t="s">
        <v>585</v>
      </c>
      <c r="D95" s="67" t="s">
        <v>666</v>
      </c>
      <c r="E95" s="67" t="s">
        <v>667</v>
      </c>
      <c r="F95" s="67"/>
      <c r="G95" s="67" t="s">
        <v>587</v>
      </c>
      <c r="H95" s="67" t="s">
        <v>588</v>
      </c>
      <c r="I95" s="67" t="s">
        <v>589</v>
      </c>
      <c r="J95" s="67" t="s">
        <v>590</v>
      </c>
      <c r="K95" s="114"/>
    </row>
    <row r="96" spans="2:11" ht="14.1" customHeight="1" thickBot="1" x14ac:dyDescent="0.3">
      <c r="B96" s="269"/>
      <c r="C96" s="100">
        <v>1</v>
      </c>
      <c r="D96" s="41" t="s">
        <v>668</v>
      </c>
      <c r="E96" s="31">
        <v>0.5</v>
      </c>
      <c r="F96" s="32"/>
      <c r="G96" s="476">
        <f ca="1">IFERROR(AVERAGEIF($D$79:$J$92,"POMCA",G$79:G$92),0)</f>
        <v>0</v>
      </c>
      <c r="H96" s="155">
        <f ca="1">IFERROR(AVERAGEIF($D$79:$J$92,"POMCA",H$79:H$92),0)</f>
        <v>0</v>
      </c>
      <c r="I96" s="155">
        <f ca="1">IFERROR(AVERAGEIF($D$79:$J$92,"POMCA",I$79:I$92),0)</f>
        <v>0</v>
      </c>
      <c r="J96" s="155">
        <f ca="1">IFERROR(AVERAGEIF($D$79:$J$92,"POMCA",J$79:J$92),0)</f>
        <v>0</v>
      </c>
      <c r="K96" s="112"/>
    </row>
    <row r="97" spans="2:11" ht="14.1" customHeight="1" thickBot="1" x14ac:dyDescent="0.3">
      <c r="B97" s="269"/>
      <c r="C97" s="100">
        <v>2</v>
      </c>
      <c r="D97" s="41" t="s">
        <v>653</v>
      </c>
      <c r="E97" s="31">
        <v>0.4</v>
      </c>
      <c r="F97" s="32"/>
      <c r="G97" s="155">
        <f ca="1">IFERROR(AVERAGEIF($D$79:$J$92,"PMA",G$79:G$92),0)</f>
        <v>0</v>
      </c>
      <c r="H97" s="155">
        <f ca="1">IFERROR(AVERAGEIF($D$79:$J$92,"PMA",H$79:H$92),0)</f>
        <v>0</v>
      </c>
      <c r="I97" s="155">
        <f ca="1">IFERROR(AVERAGEIF($D$79:$J$92,"PMA",I$79:I$92),0)</f>
        <v>0</v>
      </c>
      <c r="J97" s="155">
        <f ca="1">IFERROR(AVERAGEIF($D$79:$J$92,"PMA",J$79:J$92),0)</f>
        <v>0</v>
      </c>
      <c r="K97" s="112"/>
    </row>
    <row r="98" spans="2:11" ht="14.1" customHeight="1" thickBot="1" x14ac:dyDescent="0.3">
      <c r="B98" s="269"/>
      <c r="C98" s="100">
        <v>3</v>
      </c>
      <c r="D98" s="41" t="s">
        <v>654</v>
      </c>
      <c r="E98" s="31">
        <v>0.1</v>
      </c>
      <c r="F98" s="32"/>
      <c r="G98" s="155">
        <f ca="1">IFERROR(AVERAGEIF($D$79:$J$92,"PMM",G$79:G$92),0)</f>
        <v>0</v>
      </c>
      <c r="H98" s="155">
        <f ca="1">IFERROR(AVERAGEIF($D$79:$J$92,"PMM",H$79:H$92),0)</f>
        <v>0</v>
      </c>
      <c r="I98" s="155">
        <f ca="1">IFERROR(AVERAGEIF($D$79:$J$92,"PMM",I$79:I$92),0)</f>
        <v>0</v>
      </c>
      <c r="J98" s="155">
        <f ca="1">IFERROR(AVERAGEIF($D$79:$J$92,"PMM",J$79:J$92),0)</f>
        <v>0</v>
      </c>
      <c r="K98" s="112"/>
    </row>
    <row r="99" spans="2:11" ht="14.1" customHeight="1" thickBot="1" x14ac:dyDescent="0.3">
      <c r="B99" s="269"/>
      <c r="D99" s="978">
        <f>[5]Formulas!$D$5</f>
        <v>1</v>
      </c>
      <c r="E99" s="979"/>
      <c r="F99" s="378" t="s">
        <v>669</v>
      </c>
      <c r="G99" s="477" t="str">
        <f>[5]Formulas!E5</f>
        <v>N.A.</v>
      </c>
      <c r="H99" s="195" t="str">
        <f>[5]Formulas!F5</f>
        <v>N.A.</v>
      </c>
      <c r="I99" s="195" t="str">
        <f>[5]Formulas!G5</f>
        <v>N.A.</v>
      </c>
      <c r="J99" s="195" t="str">
        <f>[5]Formulas!H5</f>
        <v>N.A.</v>
      </c>
      <c r="K99" s="113"/>
    </row>
    <row r="100" spans="2:11" ht="14.1" customHeight="1" x14ac:dyDescent="0.25">
      <c r="B100" s="269"/>
      <c r="C100" s="103"/>
      <c r="D100" s="980"/>
      <c r="E100" s="981"/>
      <c r="F100" s="981"/>
      <c r="G100" s="981"/>
      <c r="H100" s="981"/>
      <c r="I100" s="981"/>
      <c r="J100" s="981"/>
      <c r="K100" s="982"/>
    </row>
    <row r="101" spans="2:11" ht="14.1" customHeight="1" x14ac:dyDescent="0.25">
      <c r="B101" s="269"/>
      <c r="C101" s="103"/>
      <c r="D101" s="962" t="s">
        <v>670</v>
      </c>
      <c r="E101" s="963"/>
      <c r="F101" s="963"/>
      <c r="G101" s="963"/>
      <c r="H101" s="963"/>
      <c r="I101" s="963"/>
      <c r="J101" s="963"/>
      <c r="K101" s="964"/>
    </row>
    <row r="102" spans="2:11" ht="14.1" customHeight="1" thickBot="1" x14ac:dyDescent="0.3">
      <c r="B102" s="72"/>
      <c r="C102" s="107"/>
      <c r="D102" s="246"/>
      <c r="E102" s="125"/>
      <c r="F102" s="125"/>
      <c r="G102" s="125"/>
      <c r="H102" s="125"/>
      <c r="I102" s="125"/>
      <c r="J102" s="125"/>
      <c r="K102" s="40"/>
    </row>
    <row r="103" spans="2:11" ht="14.1" customHeight="1" thickBot="1" x14ac:dyDescent="0.3">
      <c r="B103" s="72" t="s">
        <v>671</v>
      </c>
      <c r="C103" s="107"/>
      <c r="D103" s="983" t="s">
        <v>672</v>
      </c>
      <c r="E103" s="984"/>
      <c r="F103" s="984"/>
      <c r="G103" s="984"/>
      <c r="H103" s="984"/>
      <c r="I103" s="984"/>
      <c r="J103" s="984"/>
      <c r="K103" s="985"/>
    </row>
    <row r="104" spans="2:11" ht="39" customHeight="1" thickBot="1" x14ac:dyDescent="0.3">
      <c r="B104" s="72" t="s">
        <v>673</v>
      </c>
      <c r="C104" s="107"/>
      <c r="D104" s="983" t="s">
        <v>674</v>
      </c>
      <c r="E104" s="984"/>
      <c r="F104" s="984"/>
      <c r="G104" s="984"/>
      <c r="H104" s="984"/>
      <c r="I104" s="984"/>
      <c r="J104" s="984"/>
      <c r="K104" s="985"/>
    </row>
    <row r="105" spans="2:11" ht="15.75" thickBot="1" x14ac:dyDescent="0.3">
      <c r="B105" s="1"/>
      <c r="C105" s="76"/>
      <c r="D105" s="5"/>
      <c r="E105" s="5"/>
      <c r="F105" s="5"/>
      <c r="G105" s="5"/>
      <c r="H105" s="5"/>
      <c r="I105" s="5"/>
      <c r="J105" s="5"/>
      <c r="K105" s="5"/>
    </row>
    <row r="106" spans="2:11" ht="24" customHeight="1" thickBot="1" x14ac:dyDescent="0.3">
      <c r="B106" s="971" t="s">
        <v>675</v>
      </c>
      <c r="C106" s="972"/>
      <c r="D106" s="972"/>
      <c r="E106" s="973"/>
      <c r="F106" s="5"/>
      <c r="G106" s="5"/>
      <c r="H106" s="5"/>
      <c r="I106" s="5"/>
      <c r="J106" s="5"/>
      <c r="K106" s="5"/>
    </row>
    <row r="107" spans="2:11" ht="48.75" thickBot="1" x14ac:dyDescent="0.3">
      <c r="B107" s="974">
        <v>1</v>
      </c>
      <c r="C107" s="94"/>
      <c r="D107" s="48" t="s">
        <v>676</v>
      </c>
      <c r="E107" s="337" t="s">
        <v>2301</v>
      </c>
      <c r="F107" s="5"/>
      <c r="G107" s="5"/>
      <c r="H107" s="5"/>
      <c r="I107" s="5"/>
      <c r="J107" s="5"/>
      <c r="K107" s="5"/>
    </row>
    <row r="108" spans="2:11" ht="36.75" thickBot="1" x14ac:dyDescent="0.3">
      <c r="B108" s="975"/>
      <c r="C108" s="94"/>
      <c r="D108" s="40" t="s">
        <v>525</v>
      </c>
      <c r="E108" s="337" t="s">
        <v>2302</v>
      </c>
      <c r="F108" s="5"/>
      <c r="G108" s="5"/>
      <c r="H108" s="5"/>
      <c r="I108" s="5"/>
      <c r="J108" s="5"/>
      <c r="K108" s="5"/>
    </row>
    <row r="109" spans="2:11" ht="36.75" thickBot="1" x14ac:dyDescent="0.3">
      <c r="B109" s="975"/>
      <c r="C109" s="94"/>
      <c r="D109" s="40" t="s">
        <v>677</v>
      </c>
      <c r="E109" s="337" t="s">
        <v>2303</v>
      </c>
      <c r="F109" s="5"/>
      <c r="G109" s="5"/>
      <c r="H109" s="5"/>
      <c r="I109" s="5"/>
      <c r="J109" s="5"/>
      <c r="K109" s="5"/>
    </row>
    <row r="110" spans="2:11" ht="15.75" thickBot="1" x14ac:dyDescent="0.3">
      <c r="B110" s="975"/>
      <c r="C110" s="94"/>
      <c r="D110" s="40" t="s">
        <v>527</v>
      </c>
      <c r="E110" s="337" t="s">
        <v>2304</v>
      </c>
      <c r="F110" s="5"/>
      <c r="G110" s="5"/>
      <c r="H110" s="5"/>
      <c r="I110" s="5"/>
      <c r="J110" s="5"/>
      <c r="K110" s="5"/>
    </row>
    <row r="111" spans="2:11" ht="48.75" thickBot="1" x14ac:dyDescent="0.3">
      <c r="B111" s="975"/>
      <c r="C111" s="94"/>
      <c r="D111" s="40" t="s">
        <v>529</v>
      </c>
      <c r="E111" s="337" t="s">
        <v>2305</v>
      </c>
      <c r="F111" s="5"/>
      <c r="G111" s="5"/>
      <c r="H111" s="5"/>
      <c r="I111" s="5"/>
      <c r="J111" s="5"/>
      <c r="K111" s="5"/>
    </row>
    <row r="112" spans="2:11" ht="15.75" thickBot="1" x14ac:dyDescent="0.3">
      <c r="B112" s="975"/>
      <c r="C112" s="94"/>
      <c r="D112" s="40" t="s">
        <v>531</v>
      </c>
      <c r="E112" s="337">
        <v>5748960</v>
      </c>
      <c r="F112" s="5"/>
      <c r="G112" s="5"/>
      <c r="H112" s="5"/>
      <c r="I112" s="5"/>
      <c r="J112" s="5"/>
      <c r="K112" s="5"/>
    </row>
    <row r="113" spans="2:11" ht="36.75" thickBot="1" x14ac:dyDescent="0.3">
      <c r="B113" s="976"/>
      <c r="C113" s="2"/>
      <c r="D113" s="40" t="s">
        <v>678</v>
      </c>
      <c r="E113" s="337" t="s">
        <v>2306</v>
      </c>
      <c r="F113" s="5"/>
      <c r="G113" s="5"/>
      <c r="H113" s="5"/>
      <c r="I113" s="5"/>
      <c r="J113" s="5"/>
      <c r="K113" s="5"/>
    </row>
    <row r="114" spans="2:11" ht="15.75" thickBot="1" x14ac:dyDescent="0.3">
      <c r="B114" s="1"/>
      <c r="C114" s="76"/>
      <c r="D114" s="5"/>
      <c r="E114" s="5"/>
      <c r="F114" s="5"/>
      <c r="G114" s="5"/>
      <c r="H114" s="5"/>
      <c r="I114" s="5"/>
      <c r="J114" s="5"/>
      <c r="K114" s="5"/>
    </row>
    <row r="115" spans="2:11" ht="15" customHeight="1" thickBot="1" x14ac:dyDescent="0.3">
      <c r="B115" s="971" t="s">
        <v>679</v>
      </c>
      <c r="C115" s="972"/>
      <c r="D115" s="972"/>
      <c r="E115" s="973"/>
      <c r="F115" s="5"/>
      <c r="G115" s="5"/>
      <c r="H115" s="5"/>
      <c r="I115" s="5"/>
      <c r="J115" s="5"/>
      <c r="K115" s="5"/>
    </row>
    <row r="116" spans="2:11" ht="15.75" thickBot="1" x14ac:dyDescent="0.3">
      <c r="B116" s="974">
        <v>1</v>
      </c>
      <c r="C116" s="94"/>
      <c r="D116" s="48" t="s">
        <v>676</v>
      </c>
      <c r="E116" s="34" t="s">
        <v>680</v>
      </c>
      <c r="F116" s="5"/>
      <c r="G116" s="5"/>
      <c r="H116" s="5"/>
      <c r="I116" s="5"/>
      <c r="J116" s="5"/>
      <c r="K116" s="5"/>
    </row>
    <row r="117" spans="2:11" ht="15.75" thickBot="1" x14ac:dyDescent="0.3">
      <c r="B117" s="975"/>
      <c r="C117" s="94"/>
      <c r="D117" s="40" t="s">
        <v>525</v>
      </c>
      <c r="E117" s="34" t="s">
        <v>681</v>
      </c>
      <c r="F117" s="5"/>
      <c r="G117" s="5"/>
      <c r="H117" s="5"/>
      <c r="I117" s="5"/>
      <c r="J117" s="5"/>
      <c r="K117" s="5"/>
    </row>
    <row r="118" spans="2:11" ht="15.75" thickBot="1" x14ac:dyDescent="0.3">
      <c r="B118" s="975"/>
      <c r="C118" s="94"/>
      <c r="D118" s="40" t="s">
        <v>677</v>
      </c>
      <c r="E118" s="165"/>
      <c r="F118" s="5"/>
      <c r="G118" s="5"/>
      <c r="H118" s="5"/>
      <c r="I118" s="5"/>
      <c r="J118" s="5"/>
      <c r="K118" s="5"/>
    </row>
    <row r="119" spans="2:11" ht="15.75" thickBot="1" x14ac:dyDescent="0.3">
      <c r="B119" s="975"/>
      <c r="C119" s="94"/>
      <c r="D119" s="40" t="s">
        <v>527</v>
      </c>
      <c r="E119" s="165"/>
      <c r="F119" s="5"/>
      <c r="G119" s="5"/>
      <c r="H119" s="5"/>
      <c r="I119" s="5"/>
      <c r="J119" s="5"/>
      <c r="K119" s="5"/>
    </row>
    <row r="120" spans="2:11" ht="15.75" thickBot="1" x14ac:dyDescent="0.3">
      <c r="B120" s="975"/>
      <c r="C120" s="94"/>
      <c r="D120" s="40" t="s">
        <v>529</v>
      </c>
      <c r="E120" s="165"/>
      <c r="F120" s="5"/>
      <c r="G120" s="5"/>
      <c r="H120" s="5"/>
      <c r="I120" s="5"/>
      <c r="J120" s="5"/>
      <c r="K120" s="5"/>
    </row>
    <row r="121" spans="2:11" ht="15.75" thickBot="1" x14ac:dyDescent="0.3">
      <c r="B121" s="975"/>
      <c r="C121" s="94"/>
      <c r="D121" s="40" t="s">
        <v>531</v>
      </c>
      <c r="E121" s="165"/>
      <c r="F121" s="5"/>
      <c r="G121" s="5"/>
      <c r="H121" s="5"/>
      <c r="I121" s="5"/>
      <c r="J121" s="5"/>
      <c r="K121" s="5"/>
    </row>
    <row r="122" spans="2:11" ht="15.75" thickBot="1" x14ac:dyDescent="0.3">
      <c r="B122" s="976"/>
      <c r="C122" s="2"/>
      <c r="D122" s="40" t="s">
        <v>678</v>
      </c>
      <c r="E122" s="165"/>
      <c r="F122" s="5"/>
      <c r="G122" s="5"/>
      <c r="H122" s="5"/>
      <c r="I122" s="5"/>
      <c r="J122" s="5"/>
      <c r="K122" s="5"/>
    </row>
    <row r="123" spans="2:11" ht="15.75" thickBot="1" x14ac:dyDescent="0.3">
      <c r="B123" s="1"/>
      <c r="C123" s="76"/>
      <c r="D123" s="5"/>
      <c r="E123" s="5"/>
      <c r="F123" s="5"/>
      <c r="G123" s="5"/>
      <c r="H123" s="5"/>
      <c r="I123" s="5"/>
      <c r="J123" s="5"/>
      <c r="K123" s="5"/>
    </row>
    <row r="124" spans="2:11" ht="15" customHeight="1" thickBot="1" x14ac:dyDescent="0.3">
      <c r="B124" s="119" t="s">
        <v>682</v>
      </c>
      <c r="C124" s="120"/>
      <c r="D124" s="120"/>
      <c r="E124" s="265"/>
      <c r="G124" s="5"/>
      <c r="H124" s="5"/>
      <c r="I124" s="5"/>
      <c r="J124" s="5"/>
      <c r="K124" s="5"/>
    </row>
    <row r="125" spans="2:11" ht="24.75" thickBot="1" x14ac:dyDescent="0.3">
      <c r="B125" s="47" t="s">
        <v>683</v>
      </c>
      <c r="C125" s="40" t="s">
        <v>684</v>
      </c>
      <c r="D125" s="125" t="s">
        <v>685</v>
      </c>
      <c r="E125" s="253" t="s">
        <v>686</v>
      </c>
      <c r="F125" s="5"/>
      <c r="G125" s="5"/>
      <c r="H125" s="5"/>
      <c r="I125" s="5"/>
      <c r="J125" s="5"/>
    </row>
    <row r="126" spans="2:11" ht="96.75" thickBot="1" x14ac:dyDescent="0.3">
      <c r="B126" s="49">
        <v>42401</v>
      </c>
      <c r="C126" s="40">
        <v>1</v>
      </c>
      <c r="D126" s="68" t="s">
        <v>687</v>
      </c>
      <c r="E126" s="40"/>
      <c r="F126" s="5"/>
      <c r="G126" s="5"/>
      <c r="H126" s="5"/>
      <c r="I126" s="5"/>
      <c r="J126" s="5"/>
    </row>
    <row r="127" spans="2:11" ht="15.75" thickBot="1" x14ac:dyDescent="0.3">
      <c r="B127" s="3"/>
      <c r="C127" s="95"/>
      <c r="D127" s="5"/>
      <c r="E127" s="5"/>
      <c r="F127" s="5"/>
      <c r="G127" s="5"/>
      <c r="H127" s="5"/>
      <c r="I127" s="5"/>
      <c r="J127" s="5"/>
      <c r="K127" s="5"/>
    </row>
    <row r="128" spans="2:11" x14ac:dyDescent="0.25">
      <c r="B128" s="129" t="s">
        <v>593</v>
      </c>
      <c r="C128" s="96"/>
      <c r="D128" s="5"/>
      <c r="E128" s="5"/>
      <c r="F128" s="5"/>
      <c r="G128" s="5"/>
      <c r="H128" s="5"/>
      <c r="I128" s="5"/>
      <c r="J128" s="5"/>
      <c r="K128" s="5"/>
    </row>
    <row r="129" spans="2:11" x14ac:dyDescent="0.25">
      <c r="B129" s="977"/>
      <c r="C129" s="977"/>
      <c r="D129" s="977"/>
      <c r="E129" s="977"/>
      <c r="F129" s="977"/>
      <c r="G129" s="5"/>
      <c r="H129" s="5"/>
      <c r="I129" s="5"/>
      <c r="J129" s="5"/>
      <c r="K129" s="5"/>
    </row>
    <row r="130" spans="2:11" ht="44.1" customHeight="1" x14ac:dyDescent="0.25">
      <c r="B130" s="977"/>
      <c r="C130" s="977"/>
      <c r="D130" s="977"/>
      <c r="E130" s="977"/>
      <c r="F130" s="977"/>
      <c r="G130" s="5"/>
      <c r="H130" s="5"/>
      <c r="I130" s="5"/>
      <c r="J130" s="5"/>
      <c r="K130" s="5"/>
    </row>
    <row r="131" spans="2:11" x14ac:dyDescent="0.25">
      <c r="B131" s="1"/>
      <c r="C131" s="76"/>
      <c r="D131" s="5"/>
      <c r="E131" s="5"/>
      <c r="F131" s="5"/>
      <c r="G131" s="5"/>
      <c r="H131" s="5"/>
      <c r="I131" s="5"/>
      <c r="J131" s="5"/>
      <c r="K131" s="5"/>
    </row>
    <row r="132" spans="2:11" ht="15.75" thickBot="1" x14ac:dyDescent="0.3">
      <c r="B132" s="37"/>
      <c r="C132" s="88"/>
      <c r="D132" s="5"/>
      <c r="E132" s="5"/>
      <c r="F132" s="5"/>
      <c r="G132" s="5"/>
      <c r="H132" s="5"/>
      <c r="I132" s="5"/>
      <c r="J132" s="5"/>
      <c r="K132" s="5"/>
    </row>
    <row r="133" spans="2:11" ht="15.75" thickBot="1" x14ac:dyDescent="0.3">
      <c r="B133" s="266" t="s">
        <v>688</v>
      </c>
      <c r="C133" s="97"/>
      <c r="D133" s="5"/>
      <c r="E133" s="5"/>
      <c r="F133" s="5"/>
      <c r="G133" s="5"/>
      <c r="H133" s="5"/>
      <c r="I133" s="5"/>
      <c r="J133" s="5"/>
      <c r="K133" s="5"/>
    </row>
    <row r="134" spans="2:11" ht="15.75" thickBot="1" x14ac:dyDescent="0.3">
      <c r="B134" s="37"/>
      <c r="C134" s="88"/>
      <c r="D134" s="5"/>
      <c r="E134" s="5"/>
      <c r="F134" s="5"/>
      <c r="G134" s="5"/>
      <c r="H134" s="5"/>
      <c r="I134" s="5"/>
      <c r="J134" s="5"/>
      <c r="K134" s="5"/>
    </row>
    <row r="135" spans="2:11" ht="15.75" thickBot="1" x14ac:dyDescent="0.3">
      <c r="B135" s="52" t="s">
        <v>689</v>
      </c>
      <c r="C135" s="233"/>
      <c r="D135" s="983" t="s">
        <v>690</v>
      </c>
      <c r="E135" s="984"/>
      <c r="F135" s="985"/>
      <c r="G135" s="5"/>
      <c r="H135" s="5"/>
      <c r="I135" s="5"/>
      <c r="J135" s="5"/>
      <c r="K135" s="5"/>
    </row>
    <row r="136" spans="2:11" x14ac:dyDescent="0.25">
      <c r="B136" s="974" t="s">
        <v>691</v>
      </c>
      <c r="C136" s="89"/>
      <c r="D136" s="965" t="s">
        <v>692</v>
      </c>
      <c r="E136" s="966"/>
      <c r="F136" s="967"/>
      <c r="G136" s="5"/>
      <c r="H136" s="5"/>
      <c r="I136" s="5"/>
      <c r="J136" s="5"/>
      <c r="K136" s="5"/>
    </row>
    <row r="137" spans="2:11" x14ac:dyDescent="0.25">
      <c r="B137" s="975"/>
      <c r="C137" s="92"/>
      <c r="D137" s="962" t="s">
        <v>693</v>
      </c>
      <c r="E137" s="963"/>
      <c r="F137" s="964"/>
      <c r="G137" s="5"/>
      <c r="H137" s="5"/>
      <c r="I137" s="5"/>
      <c r="J137" s="5"/>
      <c r="K137" s="5"/>
    </row>
    <row r="138" spans="2:11" x14ac:dyDescent="0.25">
      <c r="B138" s="975"/>
      <c r="C138" s="92"/>
      <c r="D138" s="962" t="s">
        <v>694</v>
      </c>
      <c r="E138" s="963"/>
      <c r="F138" s="964"/>
      <c r="G138" s="5"/>
      <c r="H138" s="5"/>
      <c r="I138" s="5"/>
      <c r="J138" s="5"/>
      <c r="K138" s="5"/>
    </row>
    <row r="139" spans="2:11" x14ac:dyDescent="0.25">
      <c r="B139" s="975"/>
      <c r="C139" s="92"/>
      <c r="D139" s="959" t="s">
        <v>695</v>
      </c>
      <c r="E139" s="960"/>
      <c r="F139" s="961"/>
      <c r="G139" s="5"/>
      <c r="H139" s="5"/>
      <c r="I139" s="5"/>
      <c r="J139" s="5"/>
      <c r="K139" s="5"/>
    </row>
    <row r="140" spans="2:11" x14ac:dyDescent="0.25">
      <c r="B140" s="975"/>
      <c r="C140" s="92"/>
      <c r="D140" s="962" t="s">
        <v>696</v>
      </c>
      <c r="E140" s="963"/>
      <c r="F140" s="964"/>
      <c r="G140" s="5"/>
      <c r="H140" s="5"/>
      <c r="I140" s="5"/>
      <c r="J140" s="5"/>
      <c r="K140" s="5"/>
    </row>
    <row r="141" spans="2:11" x14ac:dyDescent="0.25">
      <c r="B141" s="975"/>
      <c r="C141" s="92"/>
      <c r="D141" s="962" t="s">
        <v>697</v>
      </c>
      <c r="E141" s="963"/>
      <c r="F141" s="964"/>
      <c r="G141" s="5"/>
      <c r="H141" s="5"/>
      <c r="I141" s="5"/>
      <c r="J141" s="5"/>
      <c r="K141" s="5"/>
    </row>
    <row r="142" spans="2:11" x14ac:dyDescent="0.25">
      <c r="B142" s="975"/>
      <c r="C142" s="92"/>
      <c r="D142" s="962" t="s">
        <v>698</v>
      </c>
      <c r="E142" s="963"/>
      <c r="F142" s="964"/>
      <c r="G142" s="5"/>
      <c r="H142" s="5"/>
      <c r="I142" s="5"/>
      <c r="J142" s="5"/>
      <c r="K142" s="5"/>
    </row>
    <row r="143" spans="2:11" x14ac:dyDescent="0.25">
      <c r="B143" s="975"/>
      <c r="C143" s="92"/>
      <c r="D143" s="962" t="s">
        <v>699</v>
      </c>
      <c r="E143" s="963"/>
      <c r="F143" s="964"/>
      <c r="G143" s="5"/>
      <c r="H143" s="5"/>
      <c r="I143" s="5"/>
      <c r="J143" s="5"/>
      <c r="K143" s="5"/>
    </row>
    <row r="144" spans="2:11" x14ac:dyDescent="0.25">
      <c r="B144" s="975"/>
      <c r="C144" s="92"/>
      <c r="D144" s="959" t="s">
        <v>700</v>
      </c>
      <c r="E144" s="960"/>
      <c r="F144" s="961"/>
      <c r="G144" s="5"/>
      <c r="H144" s="5"/>
      <c r="I144" s="5"/>
      <c r="J144" s="5"/>
      <c r="K144" s="5"/>
    </row>
    <row r="145" spans="2:11" x14ac:dyDescent="0.25">
      <c r="B145" s="975"/>
      <c r="C145" s="92"/>
      <c r="D145" s="962" t="s">
        <v>701</v>
      </c>
      <c r="E145" s="963"/>
      <c r="F145" s="964"/>
      <c r="G145" s="5"/>
      <c r="H145" s="5"/>
      <c r="I145" s="5"/>
      <c r="J145" s="5"/>
      <c r="K145" s="5"/>
    </row>
    <row r="146" spans="2:11" x14ac:dyDescent="0.25">
      <c r="B146" s="975"/>
      <c r="C146" s="92"/>
      <c r="D146" s="962" t="s">
        <v>702</v>
      </c>
      <c r="E146" s="963"/>
      <c r="F146" s="964"/>
      <c r="G146" s="5"/>
      <c r="H146" s="5"/>
      <c r="I146" s="5"/>
      <c r="J146" s="5"/>
      <c r="K146" s="5"/>
    </row>
    <row r="147" spans="2:11" ht="15.75" thickBot="1" x14ac:dyDescent="0.3">
      <c r="B147" s="976"/>
      <c r="C147" s="93"/>
      <c r="D147" s="986" t="s">
        <v>703</v>
      </c>
      <c r="E147" s="987"/>
      <c r="F147" s="988"/>
      <c r="G147" s="5"/>
      <c r="H147" s="5"/>
      <c r="I147" s="5"/>
      <c r="J147" s="5"/>
      <c r="K147" s="5"/>
    </row>
    <row r="148" spans="2:11" ht="24.75" thickBot="1" x14ac:dyDescent="0.3">
      <c r="B148" s="47" t="s">
        <v>704</v>
      </c>
      <c r="C148" s="93"/>
      <c r="D148" s="983"/>
      <c r="E148" s="984"/>
      <c r="F148" s="985"/>
      <c r="G148" s="5"/>
      <c r="H148" s="5"/>
      <c r="I148" s="5"/>
      <c r="J148" s="5"/>
      <c r="K148" s="5"/>
    </row>
    <row r="149" spans="2:11" x14ac:dyDescent="0.25">
      <c r="B149" s="974" t="s">
        <v>705</v>
      </c>
      <c r="C149" s="89"/>
      <c r="D149" s="956" t="s">
        <v>706</v>
      </c>
      <c r="E149" s="957"/>
      <c r="F149" s="958"/>
      <c r="G149" s="5"/>
      <c r="H149" s="5"/>
      <c r="I149" s="5"/>
      <c r="J149" s="5"/>
      <c r="K149" s="5"/>
    </row>
    <row r="150" spans="2:11" x14ac:dyDescent="0.25">
      <c r="B150" s="975"/>
      <c r="C150" s="92"/>
      <c r="D150" s="959" t="s">
        <v>707</v>
      </c>
      <c r="E150" s="960"/>
      <c r="F150" s="961"/>
      <c r="G150" s="5"/>
      <c r="H150" s="5"/>
      <c r="I150" s="5"/>
      <c r="J150" s="5"/>
      <c r="K150" s="5"/>
    </row>
    <row r="151" spans="2:11" x14ac:dyDescent="0.25">
      <c r="B151" s="975"/>
      <c r="C151" s="92"/>
      <c r="D151" s="962" t="s">
        <v>708</v>
      </c>
      <c r="E151" s="963"/>
      <c r="F151" s="964"/>
      <c r="G151" s="5"/>
      <c r="H151" s="5"/>
      <c r="I151" s="5"/>
      <c r="J151" s="5"/>
      <c r="K151" s="5"/>
    </row>
    <row r="152" spans="2:11" x14ac:dyDescent="0.25">
      <c r="B152" s="975"/>
      <c r="C152" s="92"/>
      <c r="D152" s="962" t="s">
        <v>709</v>
      </c>
      <c r="E152" s="963"/>
      <c r="F152" s="964"/>
      <c r="G152" s="5"/>
      <c r="H152" s="5"/>
      <c r="I152" s="5"/>
      <c r="J152" s="5"/>
      <c r="K152" s="5"/>
    </row>
    <row r="153" spans="2:11" x14ac:dyDescent="0.25">
      <c r="B153" s="975"/>
      <c r="C153" s="92"/>
      <c r="D153" s="962" t="s">
        <v>710</v>
      </c>
      <c r="E153" s="963"/>
      <c r="F153" s="964"/>
      <c r="G153" s="5"/>
      <c r="H153" s="5"/>
      <c r="I153" s="5"/>
      <c r="J153" s="5"/>
      <c r="K153" s="5"/>
    </row>
    <row r="154" spans="2:11" x14ac:dyDescent="0.25">
      <c r="B154" s="975"/>
      <c r="C154" s="92"/>
      <c r="D154" s="962" t="s">
        <v>711</v>
      </c>
      <c r="E154" s="963"/>
      <c r="F154" s="964"/>
      <c r="G154" s="5"/>
      <c r="H154" s="5"/>
      <c r="I154" s="5"/>
      <c r="J154" s="5"/>
      <c r="K154" s="5"/>
    </row>
    <row r="155" spans="2:11" x14ac:dyDescent="0.25">
      <c r="B155" s="975"/>
      <c r="C155" s="92"/>
      <c r="D155" s="962" t="s">
        <v>712</v>
      </c>
      <c r="E155" s="963"/>
      <c r="F155" s="964"/>
      <c r="G155" s="5"/>
      <c r="H155" s="5"/>
      <c r="I155" s="5"/>
      <c r="J155" s="5"/>
      <c r="K155" s="5"/>
    </row>
    <row r="156" spans="2:11" x14ac:dyDescent="0.25">
      <c r="B156" s="975"/>
      <c r="C156" s="92"/>
      <c r="D156" s="962" t="s">
        <v>713</v>
      </c>
      <c r="E156" s="963"/>
      <c r="F156" s="964"/>
      <c r="G156" s="5"/>
      <c r="H156" s="5"/>
      <c r="I156" s="5"/>
      <c r="J156" s="5"/>
      <c r="K156" s="5"/>
    </row>
    <row r="157" spans="2:11" x14ac:dyDescent="0.25">
      <c r="B157" s="975"/>
      <c r="C157" s="92"/>
      <c r="D157" s="959" t="s">
        <v>714</v>
      </c>
      <c r="E157" s="960"/>
      <c r="F157" s="961"/>
      <c r="G157" s="5"/>
      <c r="H157" s="5"/>
      <c r="I157" s="5"/>
      <c r="J157" s="5"/>
      <c r="K157" s="5"/>
    </row>
    <row r="158" spans="2:11" x14ac:dyDescent="0.25">
      <c r="B158" s="975"/>
      <c r="C158" s="92"/>
      <c r="D158" s="962" t="s">
        <v>715</v>
      </c>
      <c r="E158" s="963"/>
      <c r="F158" s="964"/>
      <c r="G158" s="5"/>
      <c r="H158" s="5"/>
      <c r="I158" s="5"/>
      <c r="J158" s="5"/>
      <c r="K158" s="5"/>
    </row>
    <row r="159" spans="2:11" x14ac:dyDescent="0.25">
      <c r="B159" s="975"/>
      <c r="C159" s="92"/>
      <c r="D159" s="962" t="s">
        <v>716</v>
      </c>
      <c r="E159" s="963"/>
      <c r="F159" s="964"/>
      <c r="G159" s="5"/>
      <c r="H159" s="5"/>
      <c r="I159" s="5"/>
      <c r="J159" s="5"/>
      <c r="K159" s="5"/>
    </row>
    <row r="160" spans="2:11" x14ac:dyDescent="0.25">
      <c r="B160" s="975"/>
      <c r="C160" s="92"/>
      <c r="D160" s="962" t="s">
        <v>717</v>
      </c>
      <c r="E160" s="963"/>
      <c r="F160" s="964"/>
      <c r="G160" s="5"/>
      <c r="H160" s="5"/>
      <c r="I160" s="5"/>
      <c r="J160" s="5"/>
      <c r="K160" s="5"/>
    </row>
    <row r="161" spans="2:11" x14ac:dyDescent="0.25">
      <c r="B161" s="975"/>
      <c r="C161" s="92"/>
      <c r="D161" s="962" t="s">
        <v>718</v>
      </c>
      <c r="E161" s="963"/>
      <c r="F161" s="964"/>
      <c r="G161" s="5"/>
      <c r="H161" s="5"/>
      <c r="I161" s="5"/>
      <c r="J161" s="5"/>
      <c r="K161" s="5"/>
    </row>
    <row r="162" spans="2:11" x14ac:dyDescent="0.25">
      <c r="B162" s="975"/>
      <c r="C162" s="92"/>
      <c r="D162" s="959" t="s">
        <v>719</v>
      </c>
      <c r="E162" s="960"/>
      <c r="F162" s="961"/>
      <c r="G162" s="5"/>
      <c r="H162" s="5"/>
      <c r="I162" s="5"/>
      <c r="J162" s="5"/>
      <c r="K162" s="5"/>
    </row>
    <row r="163" spans="2:11" x14ac:dyDescent="0.25">
      <c r="B163" s="975"/>
      <c r="C163" s="92"/>
      <c r="D163" s="962" t="s">
        <v>720</v>
      </c>
      <c r="E163" s="963"/>
      <c r="F163" s="964"/>
      <c r="G163" s="5"/>
      <c r="H163" s="5"/>
      <c r="I163" s="5"/>
      <c r="J163" s="5"/>
      <c r="K163" s="5"/>
    </row>
    <row r="164" spans="2:11" x14ac:dyDescent="0.25">
      <c r="B164" s="975"/>
      <c r="C164" s="92"/>
      <c r="D164" s="962" t="s">
        <v>716</v>
      </c>
      <c r="E164" s="963"/>
      <c r="F164" s="964"/>
      <c r="G164" s="5"/>
      <c r="H164" s="5"/>
      <c r="I164" s="5"/>
      <c r="J164" s="5"/>
      <c r="K164" s="5"/>
    </row>
    <row r="165" spans="2:11" x14ac:dyDescent="0.25">
      <c r="B165" s="975"/>
      <c r="C165" s="92"/>
      <c r="D165" s="962" t="s">
        <v>717</v>
      </c>
      <c r="E165" s="963"/>
      <c r="F165" s="964"/>
      <c r="G165" s="5"/>
      <c r="H165" s="5"/>
      <c r="I165" s="5"/>
      <c r="J165" s="5"/>
      <c r="K165" s="5"/>
    </row>
    <row r="166" spans="2:11" ht="15.75" thickBot="1" x14ac:dyDescent="0.3">
      <c r="B166" s="976"/>
      <c r="C166" s="93"/>
      <c r="D166" s="989" t="s">
        <v>721</v>
      </c>
      <c r="E166" s="990"/>
      <c r="F166" s="991"/>
      <c r="G166" s="5"/>
      <c r="H166" s="5"/>
      <c r="I166" s="5"/>
      <c r="J166" s="5"/>
      <c r="K166" s="5"/>
    </row>
    <row r="167" spans="2:11" x14ac:dyDescent="0.25">
      <c r="B167" s="974" t="s">
        <v>722</v>
      </c>
      <c r="C167" s="89"/>
      <c r="D167" s="956"/>
      <c r="E167" s="957"/>
      <c r="F167" s="958"/>
      <c r="G167" s="5"/>
      <c r="H167" s="5"/>
      <c r="I167" s="5"/>
      <c r="J167" s="5"/>
      <c r="K167" s="5"/>
    </row>
    <row r="168" spans="2:11" x14ac:dyDescent="0.25">
      <c r="B168" s="975"/>
      <c r="C168" s="92"/>
      <c r="D168" s="992"/>
      <c r="E168" s="993"/>
      <c r="F168" s="994"/>
      <c r="G168" s="5"/>
      <c r="H168" s="5"/>
      <c r="I168" s="5"/>
      <c r="J168" s="5"/>
      <c r="K168" s="5"/>
    </row>
    <row r="169" spans="2:11" x14ac:dyDescent="0.25">
      <c r="B169" s="975"/>
      <c r="C169" s="92"/>
      <c r="D169" s="962" t="s">
        <v>723</v>
      </c>
      <c r="E169" s="963"/>
      <c r="F169" s="964"/>
      <c r="G169" s="5"/>
      <c r="H169" s="5"/>
      <c r="I169" s="5"/>
      <c r="J169" s="5"/>
      <c r="K169" s="5"/>
    </row>
    <row r="170" spans="2:11" x14ac:dyDescent="0.25">
      <c r="B170" s="975"/>
      <c r="C170" s="92"/>
      <c r="D170" s="962" t="s">
        <v>724</v>
      </c>
      <c r="E170" s="963"/>
      <c r="F170" s="964"/>
      <c r="G170" s="5"/>
      <c r="H170" s="5"/>
      <c r="I170" s="5"/>
      <c r="J170" s="5"/>
      <c r="K170" s="5"/>
    </row>
    <row r="171" spans="2:11" x14ac:dyDescent="0.25">
      <c r="B171" s="975"/>
      <c r="C171" s="92"/>
      <c r="D171" s="962" t="s">
        <v>725</v>
      </c>
      <c r="E171" s="963"/>
      <c r="F171" s="964"/>
      <c r="G171" s="5"/>
      <c r="H171" s="5"/>
      <c r="I171" s="5"/>
      <c r="J171" s="5"/>
      <c r="K171" s="5"/>
    </row>
    <row r="172" spans="2:11" x14ac:dyDescent="0.25">
      <c r="B172" s="975"/>
      <c r="C172" s="92"/>
      <c r="D172" s="962" t="s">
        <v>726</v>
      </c>
      <c r="E172" s="963"/>
      <c r="F172" s="964"/>
      <c r="G172" s="5"/>
      <c r="H172" s="5"/>
      <c r="I172" s="5"/>
      <c r="J172" s="5"/>
      <c r="K172" s="5"/>
    </row>
    <row r="173" spans="2:11" x14ac:dyDescent="0.25">
      <c r="B173" s="975"/>
      <c r="C173" s="92"/>
      <c r="D173" s="962" t="s">
        <v>727</v>
      </c>
      <c r="E173" s="963"/>
      <c r="F173" s="964"/>
      <c r="G173" s="5"/>
      <c r="H173" s="5"/>
      <c r="I173" s="5"/>
      <c r="J173" s="5"/>
      <c r="K173" s="5"/>
    </row>
    <row r="174" spans="2:11" x14ac:dyDescent="0.25">
      <c r="B174" s="975"/>
      <c r="C174" s="92"/>
      <c r="D174" s="962" t="s">
        <v>728</v>
      </c>
      <c r="E174" s="963"/>
      <c r="F174" s="964"/>
      <c r="G174" s="5"/>
      <c r="H174" s="5"/>
      <c r="I174" s="5"/>
      <c r="J174" s="5"/>
      <c r="K174" s="5"/>
    </row>
    <row r="175" spans="2:11" x14ac:dyDescent="0.25">
      <c r="B175" s="975"/>
      <c r="C175" s="92"/>
      <c r="D175" s="962" t="s">
        <v>729</v>
      </c>
      <c r="E175" s="963"/>
      <c r="F175" s="964"/>
      <c r="G175" s="5"/>
      <c r="H175" s="5"/>
      <c r="I175" s="5"/>
      <c r="J175" s="5"/>
      <c r="K175" s="5"/>
    </row>
    <row r="176" spans="2:11" x14ac:dyDescent="0.25">
      <c r="B176" s="975"/>
      <c r="C176" s="92"/>
      <c r="D176" s="962" t="s">
        <v>730</v>
      </c>
      <c r="E176" s="963"/>
      <c r="F176" s="964"/>
      <c r="G176" s="5"/>
      <c r="H176" s="5"/>
      <c r="I176" s="5"/>
      <c r="J176" s="5"/>
      <c r="K176" s="5"/>
    </row>
    <row r="177" spans="2:11" x14ac:dyDescent="0.25">
      <c r="B177" s="975"/>
      <c r="C177" s="92"/>
      <c r="D177" s="962" t="s">
        <v>731</v>
      </c>
      <c r="E177" s="963"/>
      <c r="F177" s="964"/>
      <c r="G177" s="5"/>
      <c r="H177" s="5"/>
      <c r="I177" s="5"/>
      <c r="J177" s="5"/>
      <c r="K177" s="5"/>
    </row>
    <row r="178" spans="2:11" x14ac:dyDescent="0.25">
      <c r="B178" s="975"/>
      <c r="C178" s="92"/>
      <c r="D178" s="962" t="s">
        <v>732</v>
      </c>
      <c r="E178" s="963"/>
      <c r="F178" s="964"/>
      <c r="G178" s="5"/>
      <c r="H178" s="5"/>
      <c r="I178" s="5"/>
      <c r="J178" s="5"/>
      <c r="K178" s="5"/>
    </row>
    <row r="179" spans="2:11" x14ac:dyDescent="0.25">
      <c r="B179" s="975"/>
      <c r="C179" s="92"/>
      <c r="D179" s="962" t="s">
        <v>733</v>
      </c>
      <c r="E179" s="963"/>
      <c r="F179" s="964"/>
      <c r="G179" s="5"/>
      <c r="H179" s="5"/>
      <c r="I179" s="5"/>
      <c r="J179" s="5"/>
      <c r="K179" s="5"/>
    </row>
    <row r="180" spans="2:11" ht="15.75" thickBot="1" x14ac:dyDescent="0.3">
      <c r="B180" s="975"/>
      <c r="C180" s="92"/>
      <c r="D180" s="953" t="s">
        <v>734</v>
      </c>
      <c r="E180" s="954"/>
      <c r="F180" s="955"/>
      <c r="G180" s="5"/>
      <c r="H180" s="5"/>
      <c r="I180" s="5"/>
      <c r="J180" s="5"/>
      <c r="K180" s="5"/>
    </row>
    <row r="181" spans="2:11" ht="24.75" thickBot="1" x14ac:dyDescent="0.3">
      <c r="B181" s="975"/>
      <c r="C181" s="94"/>
      <c r="D181" s="43" t="s">
        <v>735</v>
      </c>
      <c r="E181" s="43" t="s">
        <v>736</v>
      </c>
      <c r="F181" s="43" t="s">
        <v>737</v>
      </c>
      <c r="G181" s="5"/>
      <c r="H181" s="5"/>
      <c r="I181" s="5"/>
      <c r="J181" s="5"/>
      <c r="K181" s="5"/>
    </row>
    <row r="182" spans="2:11" ht="15.75" thickBot="1" x14ac:dyDescent="0.3">
      <c r="B182" s="975"/>
      <c r="C182" s="94"/>
      <c r="D182" s="40" t="s">
        <v>738</v>
      </c>
      <c r="E182" s="267">
        <v>0.15</v>
      </c>
      <c r="F182" s="267">
        <v>0.15</v>
      </c>
      <c r="G182" s="5"/>
      <c r="H182" s="5"/>
      <c r="I182" s="5"/>
      <c r="J182" s="5"/>
      <c r="K182" s="5"/>
    </row>
    <row r="183" spans="2:11" ht="15.75" thickBot="1" x14ac:dyDescent="0.3">
      <c r="B183" s="975"/>
      <c r="C183" s="94"/>
      <c r="D183" s="40" t="s">
        <v>739</v>
      </c>
      <c r="E183" s="267">
        <v>0.18</v>
      </c>
      <c r="F183" s="267">
        <v>0.33</v>
      </c>
      <c r="G183" s="5"/>
      <c r="H183" s="268"/>
      <c r="I183" s="5"/>
      <c r="J183" s="5"/>
      <c r="K183" s="5"/>
    </row>
    <row r="184" spans="2:11" ht="15.75" thickBot="1" x14ac:dyDescent="0.3">
      <c r="B184" s="975"/>
      <c r="C184" s="94"/>
      <c r="D184" s="40" t="s">
        <v>740</v>
      </c>
      <c r="E184" s="267">
        <v>0.33</v>
      </c>
      <c r="F184" s="267">
        <v>0.66</v>
      </c>
      <c r="G184" s="5"/>
      <c r="H184" s="268"/>
      <c r="I184" s="5"/>
      <c r="J184" s="5"/>
      <c r="K184" s="5"/>
    </row>
    <row r="185" spans="2:11" ht="24.75" thickBot="1" x14ac:dyDescent="0.3">
      <c r="B185" s="975"/>
      <c r="C185" s="94"/>
      <c r="D185" s="40" t="s">
        <v>741</v>
      </c>
      <c r="E185" s="267">
        <v>0.16</v>
      </c>
      <c r="F185" s="267">
        <v>0.82</v>
      </c>
      <c r="G185" s="5"/>
      <c r="H185" s="268"/>
      <c r="I185" s="5"/>
      <c r="J185" s="5"/>
      <c r="K185" s="5"/>
    </row>
    <row r="186" spans="2:11" ht="15.75" thickBot="1" x14ac:dyDescent="0.3">
      <c r="B186" s="975"/>
      <c r="C186" s="94"/>
      <c r="D186" s="40" t="s">
        <v>742</v>
      </c>
      <c r="E186" s="267">
        <v>0.18</v>
      </c>
      <c r="F186" s="267">
        <v>1</v>
      </c>
      <c r="G186" s="5"/>
      <c r="H186" s="268"/>
      <c r="I186" s="5"/>
      <c r="J186" s="5"/>
      <c r="K186" s="5"/>
    </row>
    <row r="187" spans="2:11" x14ac:dyDescent="0.25">
      <c r="B187" s="975"/>
      <c r="C187" s="92"/>
      <c r="D187" s="965"/>
      <c r="E187" s="966"/>
      <c r="F187" s="967"/>
      <c r="G187" s="5"/>
      <c r="H187" s="5"/>
      <c r="I187" s="5"/>
      <c r="J187" s="5"/>
      <c r="K187" s="5"/>
    </row>
    <row r="188" spans="2:11" ht="15.75" thickBot="1" x14ac:dyDescent="0.3">
      <c r="B188" s="975"/>
      <c r="C188" s="92"/>
      <c r="D188" s="953" t="s">
        <v>714</v>
      </c>
      <c r="E188" s="954"/>
      <c r="F188" s="955"/>
      <c r="G188" s="5"/>
      <c r="H188" s="5"/>
      <c r="I188" s="5"/>
      <c r="J188" s="5"/>
      <c r="K188" s="5"/>
    </row>
    <row r="189" spans="2:11" ht="24.75" thickBot="1" x14ac:dyDescent="0.3">
      <c r="B189" s="975"/>
      <c r="C189" s="94"/>
      <c r="D189" s="43" t="s">
        <v>735</v>
      </c>
      <c r="E189" s="43" t="s">
        <v>736</v>
      </c>
      <c r="F189" s="43" t="s">
        <v>737</v>
      </c>
      <c r="G189" s="5"/>
      <c r="H189" s="5"/>
      <c r="I189" s="5"/>
      <c r="J189" s="5"/>
      <c r="K189" s="5"/>
    </row>
    <row r="190" spans="2:11" ht="15.75" thickBot="1" x14ac:dyDescent="0.3">
      <c r="B190" s="975"/>
      <c r="C190" s="94"/>
      <c r="D190" s="40" t="s">
        <v>743</v>
      </c>
      <c r="E190" s="267">
        <v>0.2</v>
      </c>
      <c r="F190" s="267">
        <v>0.2</v>
      </c>
      <c r="G190" s="5"/>
      <c r="H190" s="5"/>
      <c r="I190" s="5"/>
      <c r="J190" s="5"/>
      <c r="K190" s="5"/>
    </row>
    <row r="191" spans="2:11" ht="15.75" thickBot="1" x14ac:dyDescent="0.3">
      <c r="B191" s="975"/>
      <c r="C191" s="94"/>
      <c r="D191" s="40" t="s">
        <v>744</v>
      </c>
      <c r="E191" s="267">
        <v>0.5</v>
      </c>
      <c r="F191" s="267">
        <v>0.7</v>
      </c>
      <c r="G191" s="5"/>
      <c r="H191" s="268"/>
      <c r="I191" s="5"/>
      <c r="J191" s="5"/>
      <c r="K191" s="5"/>
    </row>
    <row r="192" spans="2:11" ht="15.75" thickBot="1" x14ac:dyDescent="0.3">
      <c r="B192" s="975"/>
      <c r="C192" s="94"/>
      <c r="D192" s="40" t="s">
        <v>745</v>
      </c>
      <c r="E192" s="267">
        <v>0.3</v>
      </c>
      <c r="F192" s="267">
        <v>1</v>
      </c>
      <c r="G192" s="5"/>
      <c r="H192" s="268"/>
      <c r="I192" s="5"/>
      <c r="J192" s="5"/>
      <c r="K192" s="5"/>
    </row>
    <row r="193" spans="2:11" x14ac:dyDescent="0.25">
      <c r="B193" s="975"/>
      <c r="C193" s="92"/>
      <c r="D193" s="956"/>
      <c r="E193" s="957"/>
      <c r="F193" s="958"/>
      <c r="G193" s="5"/>
      <c r="H193" s="268"/>
      <c r="I193" s="5"/>
      <c r="J193" s="5"/>
      <c r="K193" s="5"/>
    </row>
    <row r="194" spans="2:11" ht="15.75" thickBot="1" x14ac:dyDescent="0.3">
      <c r="B194" s="975"/>
      <c r="C194" s="92"/>
      <c r="D194" s="953" t="s">
        <v>746</v>
      </c>
      <c r="E194" s="954"/>
      <c r="F194" s="955"/>
      <c r="G194" s="5"/>
      <c r="H194" s="268"/>
      <c r="I194" s="5"/>
      <c r="J194" s="5"/>
      <c r="K194" s="5"/>
    </row>
    <row r="195" spans="2:11" ht="24.75" thickBot="1" x14ac:dyDescent="0.3">
      <c r="B195" s="975"/>
      <c r="C195" s="94"/>
      <c r="D195" s="43" t="s">
        <v>735</v>
      </c>
      <c r="E195" s="43" t="s">
        <v>736</v>
      </c>
      <c r="F195" s="43" t="s">
        <v>737</v>
      </c>
      <c r="G195" s="5"/>
      <c r="H195" s="5"/>
      <c r="I195" s="5"/>
      <c r="J195" s="5"/>
      <c r="K195" s="5"/>
    </row>
    <row r="196" spans="2:11" ht="15.75" thickBot="1" x14ac:dyDescent="0.3">
      <c r="B196" s="975"/>
      <c r="C196" s="94"/>
      <c r="D196" s="40" t="s">
        <v>747</v>
      </c>
      <c r="E196" s="267">
        <v>0.2</v>
      </c>
      <c r="F196" s="267">
        <v>0.2</v>
      </c>
      <c r="G196" s="5"/>
      <c r="H196" s="268"/>
      <c r="I196" s="5"/>
      <c r="J196" s="5"/>
      <c r="K196" s="5"/>
    </row>
    <row r="197" spans="2:11" ht="15.75" thickBot="1" x14ac:dyDescent="0.3">
      <c r="B197" s="975"/>
      <c r="C197" s="94"/>
      <c r="D197" s="40" t="s">
        <v>744</v>
      </c>
      <c r="E197" s="267">
        <v>0.5</v>
      </c>
      <c r="F197" s="267">
        <v>0.7</v>
      </c>
      <c r="G197" s="5"/>
      <c r="H197" s="268"/>
      <c r="I197" s="5"/>
      <c r="J197" s="5"/>
      <c r="K197" s="5"/>
    </row>
    <row r="198" spans="2:11" ht="15.75" thickBot="1" x14ac:dyDescent="0.3">
      <c r="B198" s="975"/>
      <c r="C198" s="94"/>
      <c r="D198" s="40" t="s">
        <v>745</v>
      </c>
      <c r="E198" s="267">
        <v>0.3</v>
      </c>
      <c r="F198" s="267">
        <v>1</v>
      </c>
      <c r="G198" s="5"/>
      <c r="H198" s="268"/>
      <c r="I198" s="5"/>
      <c r="J198" s="5"/>
      <c r="K198" s="5"/>
    </row>
    <row r="199" spans="2:11" x14ac:dyDescent="0.25">
      <c r="B199" s="975"/>
      <c r="C199" s="92"/>
      <c r="D199" s="956"/>
      <c r="E199" s="957"/>
      <c r="F199" s="958"/>
      <c r="G199" s="5"/>
      <c r="H199" s="5"/>
      <c r="I199" s="5"/>
      <c r="J199" s="5"/>
      <c r="K199" s="5"/>
    </row>
    <row r="200" spans="2:11" x14ac:dyDescent="0.25">
      <c r="B200" s="975"/>
      <c r="C200" s="92"/>
      <c r="D200" s="959" t="s">
        <v>748</v>
      </c>
      <c r="E200" s="960"/>
      <c r="F200" s="961"/>
      <c r="G200" s="5"/>
      <c r="H200" s="5"/>
      <c r="I200" s="5"/>
      <c r="J200" s="5"/>
      <c r="K200" s="5"/>
    </row>
    <row r="201" spans="2:11" x14ac:dyDescent="0.25">
      <c r="B201" s="975"/>
      <c r="C201" s="92"/>
      <c r="D201" s="962" t="s">
        <v>749</v>
      </c>
      <c r="E201" s="963"/>
      <c r="F201" s="964"/>
      <c r="G201" s="5"/>
      <c r="H201" s="5"/>
      <c r="I201" s="5"/>
      <c r="J201" s="5"/>
      <c r="K201" s="5"/>
    </row>
    <row r="202" spans="2:11" x14ac:dyDescent="0.25">
      <c r="B202" s="975"/>
      <c r="C202" s="92"/>
      <c r="D202" s="234"/>
      <c r="E202" s="130"/>
      <c r="F202" s="46"/>
      <c r="G202" s="5"/>
      <c r="H202" s="5"/>
      <c r="I202" s="5"/>
      <c r="J202" s="5"/>
      <c r="K202" s="5"/>
    </row>
    <row r="203" spans="2:11" x14ac:dyDescent="0.25">
      <c r="B203" s="975"/>
      <c r="C203" s="92"/>
      <c r="D203" s="962" t="s">
        <v>750</v>
      </c>
      <c r="E203" s="963"/>
      <c r="F203" s="964"/>
      <c r="G203" s="5"/>
      <c r="H203" s="5"/>
      <c r="I203" s="5"/>
      <c r="J203" s="5"/>
      <c r="K203" s="5"/>
    </row>
    <row r="204" spans="2:11" x14ac:dyDescent="0.25">
      <c r="B204" s="975"/>
      <c r="C204" s="92"/>
      <c r="D204" s="962" t="s">
        <v>751</v>
      </c>
      <c r="E204" s="963"/>
      <c r="F204" s="964"/>
      <c r="G204" s="5"/>
      <c r="H204" s="5"/>
      <c r="I204" s="5"/>
      <c r="J204" s="5"/>
      <c r="K204" s="5"/>
    </row>
    <row r="205" spans="2:11" x14ac:dyDescent="0.25">
      <c r="B205" s="975"/>
      <c r="C205" s="92"/>
      <c r="D205" s="962" t="s">
        <v>752</v>
      </c>
      <c r="E205" s="963"/>
      <c r="F205" s="964"/>
      <c r="G205" s="5"/>
      <c r="H205" s="5"/>
      <c r="I205" s="5"/>
      <c r="J205" s="5"/>
      <c r="K205" s="5"/>
    </row>
    <row r="206" spans="2:11" x14ac:dyDescent="0.25">
      <c r="B206" s="975"/>
      <c r="C206" s="92"/>
      <c r="D206" s="962" t="s">
        <v>753</v>
      </c>
      <c r="E206" s="963"/>
      <c r="F206" s="964"/>
      <c r="G206" s="5"/>
      <c r="H206" s="5"/>
      <c r="I206" s="5"/>
      <c r="J206" s="5"/>
      <c r="K206" s="5"/>
    </row>
    <row r="207" spans="2:11" x14ac:dyDescent="0.25">
      <c r="B207" s="975"/>
      <c r="C207" s="92"/>
      <c r="D207" s="234"/>
      <c r="E207" s="130"/>
      <c r="F207" s="46"/>
      <c r="G207" s="5"/>
      <c r="H207" s="5"/>
      <c r="I207" s="5"/>
      <c r="J207" s="5"/>
      <c r="K207" s="5"/>
    </row>
    <row r="208" spans="2:11" x14ac:dyDescent="0.25">
      <c r="B208" s="975"/>
      <c r="C208" s="92"/>
      <c r="D208" s="959" t="s">
        <v>754</v>
      </c>
      <c r="E208" s="960"/>
      <c r="F208" s="961"/>
      <c r="G208" s="5"/>
      <c r="H208" s="5"/>
      <c r="I208" s="5"/>
      <c r="J208" s="5"/>
      <c r="K208" s="5"/>
    </row>
    <row r="209" spans="2:11" x14ac:dyDescent="0.25">
      <c r="B209" s="975"/>
      <c r="C209" s="92"/>
      <c r="D209" s="962" t="s">
        <v>755</v>
      </c>
      <c r="E209" s="963"/>
      <c r="F209" s="964"/>
      <c r="G209" s="5"/>
      <c r="H209" s="5"/>
      <c r="I209" s="5"/>
      <c r="J209" s="5"/>
      <c r="K209" s="5"/>
    </row>
    <row r="210" spans="2:11" ht="32.1" customHeight="1" x14ac:dyDescent="0.25">
      <c r="B210" s="975"/>
      <c r="C210" s="92"/>
      <c r="D210" s="992"/>
      <c r="E210" s="993"/>
      <c r="F210" s="994"/>
      <c r="G210" s="5"/>
      <c r="H210" s="5"/>
      <c r="I210" s="5"/>
      <c r="J210" s="5"/>
      <c r="K210" s="5"/>
    </row>
    <row r="211" spans="2:11" x14ac:dyDescent="0.25">
      <c r="B211" s="975"/>
      <c r="C211" s="92"/>
      <c r="D211" s="962" t="s">
        <v>756</v>
      </c>
      <c r="E211" s="963"/>
      <c r="F211" s="964"/>
      <c r="G211" s="5"/>
      <c r="H211" s="5"/>
      <c r="I211" s="5"/>
      <c r="J211" s="5"/>
      <c r="K211" s="5"/>
    </row>
    <row r="212" spans="2:11" x14ac:dyDescent="0.25">
      <c r="B212" s="975"/>
      <c r="C212" s="92"/>
      <c r="D212" s="962" t="s">
        <v>757</v>
      </c>
      <c r="E212" s="963"/>
      <c r="F212" s="964"/>
      <c r="G212" s="5"/>
      <c r="H212" s="5"/>
      <c r="I212" s="5"/>
      <c r="J212" s="5"/>
      <c r="K212" s="5"/>
    </row>
    <row r="213" spans="2:11" x14ac:dyDescent="0.25">
      <c r="B213" s="975"/>
      <c r="C213" s="92"/>
      <c r="D213" s="962" t="s">
        <v>758</v>
      </c>
      <c r="E213" s="963"/>
      <c r="F213" s="964"/>
      <c r="G213" s="5"/>
      <c r="H213" s="5"/>
      <c r="I213" s="5"/>
      <c r="J213" s="5"/>
      <c r="K213" s="5"/>
    </row>
    <row r="214" spans="2:11" ht="15.75" thickBot="1" x14ac:dyDescent="0.3">
      <c r="B214" s="976"/>
      <c r="C214" s="93"/>
      <c r="D214" s="989" t="s">
        <v>759</v>
      </c>
      <c r="E214" s="990"/>
      <c r="F214" s="991"/>
      <c r="G214" s="5"/>
      <c r="H214" s="5"/>
      <c r="I214" s="5"/>
      <c r="J214" s="5"/>
      <c r="K214" s="5"/>
    </row>
  </sheetData>
  <sheetProtection insertRows="0"/>
  <mergeCells count="103">
    <mergeCell ref="F10:S10"/>
    <mergeCell ref="D210:F210"/>
    <mergeCell ref="D211:F211"/>
    <mergeCell ref="D201:F201"/>
    <mergeCell ref="D203:F203"/>
    <mergeCell ref="D204:F204"/>
    <mergeCell ref="D205:F205"/>
    <mergeCell ref="A5:P5"/>
    <mergeCell ref="A1:P1"/>
    <mergeCell ref="A2:P2"/>
    <mergeCell ref="A3:P3"/>
    <mergeCell ref="A4:D4"/>
    <mergeCell ref="B10:D10"/>
    <mergeCell ref="D180:F180"/>
    <mergeCell ref="D187:F187"/>
    <mergeCell ref="D188:F188"/>
    <mergeCell ref="D193:F193"/>
    <mergeCell ref="D194:F194"/>
    <mergeCell ref="D199:F199"/>
    <mergeCell ref="D200:F200"/>
    <mergeCell ref="F11:S11"/>
    <mergeCell ref="E12:R12"/>
    <mergeCell ref="E13:R13"/>
    <mergeCell ref="D164:F164"/>
    <mergeCell ref="D214:F214"/>
    <mergeCell ref="D208:F208"/>
    <mergeCell ref="D209:F209"/>
    <mergeCell ref="D161:F161"/>
    <mergeCell ref="D162:F162"/>
    <mergeCell ref="D165:F165"/>
    <mergeCell ref="D166:F166"/>
    <mergeCell ref="B167:B214"/>
    <mergeCell ref="D167:F167"/>
    <mergeCell ref="D168:F168"/>
    <mergeCell ref="D169:F169"/>
    <mergeCell ref="D170:F170"/>
    <mergeCell ref="D171:F171"/>
    <mergeCell ref="D172:F172"/>
    <mergeCell ref="D173:F173"/>
    <mergeCell ref="D174:F174"/>
    <mergeCell ref="D175:F175"/>
    <mergeCell ref="D176:F176"/>
    <mergeCell ref="D177:F177"/>
    <mergeCell ref="D178:F178"/>
    <mergeCell ref="D179:F179"/>
    <mergeCell ref="D212:F212"/>
    <mergeCell ref="D213:F213"/>
    <mergeCell ref="D206:F206"/>
    <mergeCell ref="D135:F135"/>
    <mergeCell ref="B136:B147"/>
    <mergeCell ref="D136:F136"/>
    <mergeCell ref="D137:F137"/>
    <mergeCell ref="D138:F138"/>
    <mergeCell ref="D139:F139"/>
    <mergeCell ref="D140:F140"/>
    <mergeCell ref="D141:F141"/>
    <mergeCell ref="D142:F142"/>
    <mergeCell ref="D148:F148"/>
    <mergeCell ref="B149:B166"/>
    <mergeCell ref="D149:F149"/>
    <mergeCell ref="D150:F150"/>
    <mergeCell ref="D151:F151"/>
    <mergeCell ref="D152:F152"/>
    <mergeCell ref="D143:F143"/>
    <mergeCell ref="D144:F144"/>
    <mergeCell ref="D145:F145"/>
    <mergeCell ref="D146:F146"/>
    <mergeCell ref="D147:F147"/>
    <mergeCell ref="D153:F153"/>
    <mergeCell ref="D154:F154"/>
    <mergeCell ref="D155:F155"/>
    <mergeCell ref="D156:F156"/>
    <mergeCell ref="D157:F157"/>
    <mergeCell ref="D158:F158"/>
    <mergeCell ref="D159:F159"/>
    <mergeCell ref="D160:F160"/>
    <mergeCell ref="D163:F163"/>
    <mergeCell ref="B106:E106"/>
    <mergeCell ref="B107:B113"/>
    <mergeCell ref="B115:E115"/>
    <mergeCell ref="B116:B122"/>
    <mergeCell ref="B129:F130"/>
    <mergeCell ref="D99:E99"/>
    <mergeCell ref="D100:K100"/>
    <mergeCell ref="D101:K101"/>
    <mergeCell ref="D103:K103"/>
    <mergeCell ref="D104:K104"/>
    <mergeCell ref="B15:B21"/>
    <mergeCell ref="D94:K94"/>
    <mergeCell ref="D15:K15"/>
    <mergeCell ref="D22:K22"/>
    <mergeCell ref="D23:K23"/>
    <mergeCell ref="D59:K59"/>
    <mergeCell ref="D75:K75"/>
    <mergeCell ref="D76:K76"/>
    <mergeCell ref="D77:K77"/>
    <mergeCell ref="D93:K93"/>
    <mergeCell ref="D38:K38"/>
    <mergeCell ref="D39:K39"/>
    <mergeCell ref="D40:K40"/>
    <mergeCell ref="D41:K41"/>
    <mergeCell ref="D42:K42"/>
    <mergeCell ref="D58:K58"/>
  </mergeCells>
  <conditionalFormatting sqref="D99">
    <cfRule type="containsText" dxfId="123" priority="5" operator="containsText" text="ERROR">
      <formula>NOT(ISERROR(SEARCH("ERROR",D99)))</formula>
    </cfRule>
  </conditionalFormatting>
  <conditionalFormatting sqref="E12:R12">
    <cfRule type="expression" dxfId="122" priority="1">
      <formula>E11="SI SE REPORTA"</formula>
    </cfRule>
  </conditionalFormatting>
  <conditionalFormatting sqref="F10">
    <cfRule type="notContainsBlanks" dxfId="121" priority="4">
      <formula>LEN(TRIM(F10))&gt;0</formula>
    </cfRule>
  </conditionalFormatting>
  <conditionalFormatting sqref="F11:S11">
    <cfRule type="expression" dxfId="120" priority="2">
      <formula>E11="NO SE REPORTA"</formula>
    </cfRule>
    <cfRule type="expression" dxfId="119" priority="3">
      <formula>E10="NO APLICA"</formula>
    </cfRule>
  </conditionalFormatting>
  <dataValidations count="7">
    <dataValidation type="list" allowBlank="1" showInputMessage="1" showErrorMessage="1" sqref="E11" xr:uid="{00000000-0002-0000-0900-000006000000}">
      <formula1>REPORTE</formula1>
    </dataValidation>
    <dataValidation type="list" allowBlank="1" showInputMessage="1" showErrorMessage="1" sqref="E10" xr:uid="{00000000-0002-0000-0900-000005000000}">
      <formula1>SI</formula1>
    </dataValidation>
    <dataValidation allowBlank="1" showInputMessage="1" showErrorMessage="1" promptTitle="ESTADO" prompt="Procesos formales previos_x000a_Aprestamiento_x000a_Diagnóstico_x000a_Prospectiva y Zonificación Ambiental_x000a_Formulación_x000a_Aprobado" sqref="H25:H37" xr:uid="{358DD2A8-761F-444E-977F-21890808F578}"/>
    <dataValidation type="whole" operator="greaterThanOrEqual" allowBlank="1" showInputMessage="1" showErrorMessage="1" errorTitle="ERROR" error="Valor en HECTAREAS (sin decimales)_x000a_" sqref="G28:G30 G32:G37" xr:uid="{937BF83C-FC1D-4311-B483-340EBCB3E8F1}">
      <formula1>0</formula1>
    </dataValidation>
    <dataValidation type="textLength" allowBlank="1" showInputMessage="1" showErrorMessage="1" errorTitle="ERROR" error="Escriba POMCA, PMM o PMA" promptTitle="ESCRIBA" prompt="POMCA, PMA o PMM" sqref="D25:D37 D44:D57" xr:uid="{00000000-0002-0000-0900-000002000000}">
      <formula1>1</formula1>
      <formula2>5</formula2>
    </dataValidation>
    <dataValidation type="whole" operator="greaterThanOrEqual" allowBlank="1" showErrorMessage="1" errorTitle="ERROR" error="Escriba un número igual o mayor que 0" promptTitle="ERROR" prompt="Escriba un número igual o mayor que 0" sqref="E16:E21" xr:uid="{00000000-0002-0000-0900-000001000000}">
      <formula1>0</formula1>
    </dataValidation>
    <dataValidation type="decimal" allowBlank="1" showInputMessage="1" showErrorMessage="1" errorTitle="ERROR" error="Escriba un valor entre 0% y 100%" sqref="E96:F98 G61:J74 G44:J57" xr:uid="{00000000-0002-0000-0900-000000000000}">
      <formula1>0</formula1>
      <formula2>1</formula2>
    </dataValidation>
  </dataValidations>
  <hyperlinks>
    <hyperlink ref="B9" location="'ANEXO 3'!A1" display="VOLVER AL INDICE" xr:uid="{EDCA851E-7365-4FDB-AE23-E1C8FFE02F8F}"/>
  </hyperlinks>
  <pageMargins left="0.25" right="0.25" top="0.75" bottom="0.75" header="0.3" footer="0.3"/>
  <pageSetup paperSize="178" orientation="landscape" horizontalDpi="1200" verticalDpi="12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665DB-BAEA-4119-8B80-1456651BC9E9}">
  <dimension ref="A1:U76"/>
  <sheetViews>
    <sheetView showGridLines="0" topLeftCell="C6" zoomScale="98" zoomScaleNormal="98" workbookViewId="0">
      <selection activeCell="E12" sqref="E12:R12"/>
    </sheetView>
  </sheetViews>
  <sheetFormatPr baseColWidth="10" defaultRowHeight="15" x14ac:dyDescent="0.25"/>
  <cols>
    <col min="1" max="1" width="1.85546875" customWidth="1"/>
    <col min="2" max="2" width="12.85546875" customWidth="1"/>
    <col min="3" max="3" width="6.140625" style="87" bestFit="1" customWidth="1"/>
    <col min="4" max="4" width="34.85546875" customWidth="1"/>
    <col min="5" max="5" width="12.140625" customWidth="1"/>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3</v>
      </c>
      <c r="B5" s="998"/>
      <c r="C5" s="998"/>
      <c r="D5" s="998"/>
      <c r="E5" s="998"/>
      <c r="F5" s="998"/>
      <c r="G5" s="998"/>
      <c r="H5" s="998"/>
      <c r="I5" s="998"/>
      <c r="J5" s="998"/>
      <c r="K5" s="998"/>
      <c r="L5" s="998"/>
      <c r="M5" s="998"/>
      <c r="N5" s="998"/>
      <c r="O5" s="998"/>
      <c r="P5" s="999"/>
    </row>
    <row r="6" spans="1:21" x14ac:dyDescent="0.25">
      <c r="B6" s="1" t="s">
        <v>626</v>
      </c>
      <c r="C6" s="76"/>
      <c r="D6" s="5"/>
      <c r="E6" s="74"/>
      <c r="F6" s="5" t="s">
        <v>627</v>
      </c>
      <c r="G6" s="5"/>
      <c r="H6" s="5"/>
      <c r="I6" s="5"/>
      <c r="J6" s="5"/>
      <c r="K6" s="5"/>
    </row>
    <row r="7" spans="1:21" ht="15.75" thickBot="1" x14ac:dyDescent="0.3">
      <c r="B7" s="75"/>
      <c r="C7" s="76"/>
      <c r="D7" s="5"/>
      <c r="E7" s="17"/>
      <c r="F7" s="5" t="s">
        <v>628</v>
      </c>
      <c r="G7" s="5"/>
      <c r="H7" s="5"/>
      <c r="I7" s="5"/>
      <c r="J7" s="5"/>
      <c r="K7" s="5"/>
    </row>
    <row r="8" spans="1:21" ht="15.75" thickBot="1" x14ac:dyDescent="0.3">
      <c r="B8" s="171" t="s">
        <v>629</v>
      </c>
      <c r="C8" s="211">
        <v>2024</v>
      </c>
      <c r="D8" s="229">
        <f>+IF(E10="NO APLICA","NO APLICA",IF(E11="NO SE REPORTA","SIN INFORMACION",+H23))</f>
        <v>0</v>
      </c>
      <c r="E8" s="212"/>
      <c r="F8" s="5" t="s">
        <v>630</v>
      </c>
      <c r="G8" s="5"/>
      <c r="H8" s="5"/>
      <c r="I8" s="5"/>
      <c r="J8" s="5"/>
      <c r="K8" s="5"/>
    </row>
    <row r="9" spans="1:21" x14ac:dyDescent="0.25">
      <c r="B9" s="358" t="s">
        <v>631</v>
      </c>
      <c r="D9" s="59"/>
      <c r="E9" s="5"/>
      <c r="F9" s="5"/>
      <c r="G9" s="5"/>
      <c r="H9" s="5"/>
      <c r="I9" s="5"/>
      <c r="J9" s="5"/>
      <c r="K9" s="5"/>
    </row>
    <row r="10" spans="1:21" x14ac:dyDescent="0.25">
      <c r="B10" s="1008" t="s">
        <v>632</v>
      </c>
      <c r="C10" s="1008"/>
      <c r="D10" s="1008"/>
      <c r="E10" s="361" t="s">
        <v>633</v>
      </c>
      <c r="F10" s="99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96"/>
      <c r="H10" s="996"/>
      <c r="I10" s="996"/>
      <c r="J10" s="996"/>
      <c r="K10" s="996"/>
      <c r="L10" s="996"/>
      <c r="M10" s="996"/>
      <c r="N10" s="996"/>
      <c r="O10" s="996"/>
      <c r="P10" s="996"/>
      <c r="Q10" s="996"/>
      <c r="R10" s="996"/>
      <c r="S10" s="996"/>
      <c r="T10" s="5"/>
      <c r="U10" s="5"/>
    </row>
    <row r="11" spans="1:21" ht="14.45" customHeight="1" x14ac:dyDescent="0.25">
      <c r="B11" s="360"/>
      <c r="C11" s="88"/>
      <c r="D11" s="171" t="str">
        <f>IF(E10="SI APLICA","¿El indicador no se reporta por limitaciones de información disponible? ","")</f>
        <v xml:space="preserve">¿El indicador no se reporta por limitaciones de información disponible? </v>
      </c>
      <c r="E11" s="362" t="s">
        <v>634</v>
      </c>
      <c r="F11" s="1009"/>
      <c r="G11" s="1010"/>
      <c r="H11" s="1010"/>
      <c r="I11" s="1010"/>
      <c r="J11" s="1010"/>
      <c r="K11" s="1010"/>
      <c r="L11" s="1010"/>
      <c r="M11" s="1010"/>
      <c r="N11" s="1010"/>
      <c r="O11" s="1010"/>
      <c r="P11" s="1010"/>
      <c r="Q11" s="1010"/>
      <c r="R11" s="1010"/>
      <c r="S11" s="1010"/>
    </row>
    <row r="12" spans="1:21" ht="36.6" customHeight="1" x14ac:dyDescent="0.25">
      <c r="B12" s="358"/>
      <c r="C12" s="88"/>
      <c r="D12" s="171" t="str">
        <f>IF(E11="SI SE REPORTA","¿Qué programas o proyectos del Plan de Acción están asociados al indicador? ","")</f>
        <v xml:space="preserve">¿Qué programas o proyectos del Plan de Acción están asociados al indicador? </v>
      </c>
      <c r="E12" s="1011" t="s">
        <v>2269</v>
      </c>
      <c r="F12" s="1011"/>
      <c r="G12" s="1011"/>
      <c r="H12" s="1011"/>
      <c r="I12" s="1011"/>
      <c r="J12" s="1011"/>
      <c r="K12" s="1011"/>
      <c r="L12" s="1011"/>
      <c r="M12" s="1011"/>
      <c r="N12" s="1011"/>
      <c r="O12" s="1011"/>
      <c r="P12" s="1011"/>
      <c r="Q12" s="1011"/>
      <c r="R12" s="1011"/>
    </row>
    <row r="13" spans="1:21" ht="21.95" customHeight="1" x14ac:dyDescent="0.25">
      <c r="B13" s="358"/>
      <c r="C13" s="88"/>
      <c r="D13" s="171" t="s">
        <v>635</v>
      </c>
      <c r="E13" s="1012"/>
      <c r="F13" s="1013"/>
      <c r="G13" s="1013"/>
      <c r="H13" s="1013"/>
      <c r="I13" s="1013"/>
      <c r="J13" s="1013"/>
      <c r="K13" s="1013"/>
      <c r="L13" s="1013"/>
      <c r="M13" s="1013"/>
      <c r="N13" s="1013"/>
      <c r="O13" s="1013"/>
      <c r="P13" s="1013"/>
      <c r="Q13" s="1013"/>
      <c r="R13" s="1014"/>
    </row>
    <row r="14" spans="1:21" ht="6.95" customHeight="1" thickBot="1" x14ac:dyDescent="0.3">
      <c r="B14" s="358"/>
      <c r="D14" s="59"/>
      <c r="E14" s="5"/>
      <c r="F14" s="5"/>
      <c r="G14" s="5"/>
      <c r="H14" s="5"/>
      <c r="I14" s="5"/>
      <c r="J14" s="5"/>
      <c r="K14" s="5"/>
    </row>
    <row r="15" spans="1:21" ht="15.75" thickBot="1" x14ac:dyDescent="0.3">
      <c r="B15" s="974" t="s">
        <v>636</v>
      </c>
      <c r="C15" s="89"/>
      <c r="D15" s="956" t="s">
        <v>637</v>
      </c>
      <c r="E15" s="957"/>
      <c r="F15" s="957"/>
      <c r="G15" s="957"/>
      <c r="H15" s="957"/>
      <c r="I15" s="957"/>
      <c r="J15" s="958"/>
      <c r="K15" s="5"/>
    </row>
    <row r="16" spans="1:21" ht="36.75" thickBot="1" x14ac:dyDescent="0.3">
      <c r="B16" s="975"/>
      <c r="C16" s="94"/>
      <c r="D16" s="43" t="s">
        <v>760</v>
      </c>
      <c r="E16" s="206">
        <v>15</v>
      </c>
      <c r="F16" s="5"/>
      <c r="G16" s="5"/>
      <c r="H16" s="5"/>
      <c r="I16" s="5"/>
      <c r="J16" s="21"/>
      <c r="K16" s="5"/>
    </row>
    <row r="17" spans="2:11" ht="48.75" thickBot="1" x14ac:dyDescent="0.3">
      <c r="B17" s="975"/>
      <c r="C17" s="94"/>
      <c r="D17" s="40" t="s">
        <v>761</v>
      </c>
      <c r="E17" s="206">
        <v>2</v>
      </c>
      <c r="F17" s="5"/>
      <c r="G17" s="5"/>
      <c r="H17" s="5"/>
      <c r="I17" s="5"/>
      <c r="J17" s="21"/>
      <c r="K17" s="5"/>
    </row>
    <row r="18" spans="2:11" ht="48.75" thickBot="1" x14ac:dyDescent="0.3">
      <c r="B18" s="975"/>
      <c r="C18" s="94"/>
      <c r="D18" s="40" t="s">
        <v>762</v>
      </c>
      <c r="E18" s="206">
        <v>1</v>
      </c>
      <c r="F18" s="5"/>
      <c r="G18" s="5"/>
      <c r="H18" s="5"/>
      <c r="I18" s="5"/>
      <c r="J18" s="21"/>
      <c r="K18" s="5"/>
    </row>
    <row r="19" spans="2:11" ht="15.75" thickBot="1" x14ac:dyDescent="0.3">
      <c r="B19" s="975"/>
      <c r="C19" s="92"/>
      <c r="D19" s="986"/>
      <c r="E19" s="987"/>
      <c r="F19" s="987"/>
      <c r="G19" s="987"/>
      <c r="H19" s="987"/>
      <c r="I19" s="987"/>
      <c r="J19" s="988"/>
      <c r="K19" s="5"/>
    </row>
    <row r="20" spans="2:11" ht="15.75" thickBot="1" x14ac:dyDescent="0.3">
      <c r="B20" s="975"/>
      <c r="C20" s="98" t="s">
        <v>585</v>
      </c>
      <c r="D20" s="43" t="s">
        <v>763</v>
      </c>
      <c r="E20" s="38" t="s">
        <v>587</v>
      </c>
      <c r="F20" s="38" t="s">
        <v>588</v>
      </c>
      <c r="G20" s="38" t="s">
        <v>589</v>
      </c>
      <c r="H20" s="38" t="s">
        <v>590</v>
      </c>
      <c r="I20" s="38" t="s">
        <v>764</v>
      </c>
      <c r="J20" s="111"/>
      <c r="K20" s="5"/>
    </row>
    <row r="21" spans="2:11" ht="36.75" thickBot="1" x14ac:dyDescent="0.3">
      <c r="B21" s="975"/>
      <c r="C21" s="2" t="s">
        <v>765</v>
      </c>
      <c r="D21" s="40" t="s">
        <v>766</v>
      </c>
      <c r="E21" s="206">
        <v>1</v>
      </c>
      <c r="F21" s="206">
        <v>1</v>
      </c>
      <c r="G21" s="206">
        <v>1</v>
      </c>
      <c r="H21" s="206">
        <v>1</v>
      </c>
      <c r="I21" s="42">
        <v>1</v>
      </c>
      <c r="J21" s="112"/>
      <c r="K21" s="5"/>
    </row>
    <row r="22" spans="2:11" ht="36.75" thickBot="1" x14ac:dyDescent="0.3">
      <c r="B22" s="975"/>
      <c r="C22" s="2" t="s">
        <v>767</v>
      </c>
      <c r="D22" s="40" t="s">
        <v>768</v>
      </c>
      <c r="E22" s="206">
        <v>0</v>
      </c>
      <c r="F22" s="206">
        <v>0</v>
      </c>
      <c r="G22" s="206">
        <v>0</v>
      </c>
      <c r="H22" s="206">
        <v>0</v>
      </c>
      <c r="I22" s="42"/>
      <c r="J22" s="112"/>
      <c r="K22" s="5"/>
    </row>
    <row r="23" spans="2:11" ht="36.75" thickBot="1" x14ac:dyDescent="0.3">
      <c r="B23" s="976"/>
      <c r="C23" s="2" t="s">
        <v>769</v>
      </c>
      <c r="D23" s="40" t="s">
        <v>770</v>
      </c>
      <c r="E23" s="185">
        <f>IFERROR(E22/E21,"N.A.")</f>
        <v>0</v>
      </c>
      <c r="F23" s="185">
        <f>IFERROR(F22/F21,"N.A.")</f>
        <v>0</v>
      </c>
      <c r="G23" s="185">
        <f>IFERROR(G22/G21,"N.A.")</f>
        <v>0</v>
      </c>
      <c r="H23" s="185">
        <f>IFERROR(H22/H21,"N.A.")</f>
        <v>0</v>
      </c>
      <c r="I23" s="185">
        <f>IFERROR(I22/I21,"N.A.")</f>
        <v>0</v>
      </c>
      <c r="J23" s="113"/>
      <c r="K23" s="5"/>
    </row>
    <row r="24" spans="2:11" ht="15.75" thickBot="1" x14ac:dyDescent="0.3">
      <c r="B24" s="47" t="s">
        <v>671</v>
      </c>
      <c r="C24" s="93"/>
      <c r="D24" s="983" t="s">
        <v>771</v>
      </c>
      <c r="E24" s="984"/>
      <c r="F24" s="984"/>
      <c r="G24" s="984"/>
      <c r="H24" s="984"/>
      <c r="I24" s="984"/>
      <c r="J24" s="985"/>
      <c r="K24" s="5"/>
    </row>
    <row r="25" spans="2:11" ht="24.75" thickBot="1" x14ac:dyDescent="0.3">
      <c r="B25" s="47" t="s">
        <v>673</v>
      </c>
      <c r="C25" s="93"/>
      <c r="D25" s="983" t="s">
        <v>772</v>
      </c>
      <c r="E25" s="984"/>
      <c r="F25" s="984"/>
      <c r="G25" s="984"/>
      <c r="H25" s="984"/>
      <c r="I25" s="984"/>
      <c r="J25" s="985"/>
      <c r="K25" s="5"/>
    </row>
    <row r="26" spans="2:11" ht="15.75" thickBot="1" x14ac:dyDescent="0.3">
      <c r="B26" s="1"/>
      <c r="C26" s="76"/>
      <c r="D26" s="5"/>
      <c r="E26" s="5"/>
      <c r="F26" s="5"/>
      <c r="G26" s="5"/>
      <c r="H26" s="5"/>
      <c r="I26" s="5"/>
      <c r="J26" s="5"/>
      <c r="K26" s="5"/>
    </row>
    <row r="27" spans="2:11" ht="24" customHeight="1" thickBot="1" x14ac:dyDescent="0.3">
      <c r="B27" s="971" t="s">
        <v>675</v>
      </c>
      <c r="C27" s="972"/>
      <c r="D27" s="972"/>
      <c r="E27" s="973"/>
      <c r="F27" s="5"/>
      <c r="G27" s="5"/>
      <c r="H27" s="5"/>
      <c r="I27" s="5"/>
      <c r="J27" s="5"/>
      <c r="K27" s="5"/>
    </row>
    <row r="28" spans="2:11" ht="48.75" thickBot="1" x14ac:dyDescent="0.3">
      <c r="B28" s="974">
        <v>1</v>
      </c>
      <c r="C28" s="94"/>
      <c r="D28" s="48" t="s">
        <v>676</v>
      </c>
      <c r="E28" s="337" t="s">
        <v>2301</v>
      </c>
      <c r="F28" s="5"/>
      <c r="G28" s="5"/>
      <c r="H28" s="5"/>
      <c r="I28" s="5"/>
      <c r="J28" s="5"/>
      <c r="K28" s="5"/>
    </row>
    <row r="29" spans="2:11" ht="36.75" thickBot="1" x14ac:dyDescent="0.3">
      <c r="B29" s="975"/>
      <c r="C29" s="94"/>
      <c r="D29" s="40" t="s">
        <v>525</v>
      </c>
      <c r="E29" s="337" t="s">
        <v>2302</v>
      </c>
      <c r="F29" s="5"/>
      <c r="G29" s="5"/>
      <c r="H29" s="5"/>
      <c r="I29" s="5"/>
      <c r="J29" s="5"/>
      <c r="K29" s="5"/>
    </row>
    <row r="30" spans="2:11" ht="36.75" thickBot="1" x14ac:dyDescent="0.3">
      <c r="B30" s="975"/>
      <c r="C30" s="94"/>
      <c r="D30" s="40" t="s">
        <v>677</v>
      </c>
      <c r="E30" s="337" t="s">
        <v>2303</v>
      </c>
      <c r="F30" s="5"/>
      <c r="G30" s="5"/>
      <c r="H30" s="5"/>
      <c r="I30" s="5"/>
      <c r="J30" s="5"/>
      <c r="K30" s="5"/>
    </row>
    <row r="31" spans="2:11" ht="15.75" thickBot="1" x14ac:dyDescent="0.3">
      <c r="B31" s="975"/>
      <c r="C31" s="94"/>
      <c r="D31" s="40" t="s">
        <v>527</v>
      </c>
      <c r="E31" s="337" t="s">
        <v>2304</v>
      </c>
      <c r="F31" s="5"/>
      <c r="G31" s="5"/>
      <c r="H31" s="5"/>
      <c r="I31" s="5"/>
      <c r="J31" s="5"/>
      <c r="K31" s="5"/>
    </row>
    <row r="32" spans="2:11" ht="48.75" thickBot="1" x14ac:dyDescent="0.3">
      <c r="B32" s="975"/>
      <c r="C32" s="94"/>
      <c r="D32" s="40" t="s">
        <v>529</v>
      </c>
      <c r="E32" s="337" t="s">
        <v>2305</v>
      </c>
      <c r="F32" s="5"/>
      <c r="G32" s="5"/>
      <c r="H32" s="5"/>
      <c r="I32" s="5"/>
      <c r="J32" s="5"/>
      <c r="K32" s="5"/>
    </row>
    <row r="33" spans="2:11" ht="15.75" thickBot="1" x14ac:dyDescent="0.3">
      <c r="B33" s="975"/>
      <c r="C33" s="94"/>
      <c r="D33" s="40" t="s">
        <v>531</v>
      </c>
      <c r="E33" s="337">
        <v>5748960</v>
      </c>
      <c r="F33" s="5"/>
      <c r="G33" s="5"/>
      <c r="H33" s="5"/>
      <c r="I33" s="5"/>
      <c r="J33" s="5"/>
      <c r="K33" s="5"/>
    </row>
    <row r="34" spans="2:11" ht="36.75" thickBot="1" x14ac:dyDescent="0.3">
      <c r="B34" s="976"/>
      <c r="C34" s="2"/>
      <c r="D34" s="40" t="s">
        <v>678</v>
      </c>
      <c r="E34" s="337" t="s">
        <v>2306</v>
      </c>
      <c r="F34" s="5"/>
      <c r="G34" s="5"/>
      <c r="H34" s="5"/>
      <c r="I34" s="5"/>
      <c r="J34" s="5"/>
      <c r="K34" s="5"/>
    </row>
    <row r="35" spans="2:11" ht="15.75" thickBot="1" x14ac:dyDescent="0.3">
      <c r="B35" s="1"/>
      <c r="C35" s="76"/>
      <c r="D35" s="5"/>
      <c r="E35" s="5"/>
      <c r="F35" s="5"/>
      <c r="G35" s="5"/>
      <c r="H35" s="5"/>
      <c r="I35" s="5"/>
      <c r="J35" s="5"/>
      <c r="K35" s="5"/>
    </row>
    <row r="36" spans="2:11" ht="15.75" thickBot="1" x14ac:dyDescent="0.3">
      <c r="B36" s="971" t="s">
        <v>679</v>
      </c>
      <c r="C36" s="972"/>
      <c r="D36" s="972"/>
      <c r="E36" s="973"/>
      <c r="F36" s="5"/>
      <c r="G36" s="5"/>
      <c r="H36" s="5"/>
      <c r="I36" s="5"/>
      <c r="J36" s="5"/>
      <c r="K36" s="5"/>
    </row>
    <row r="37" spans="2:11" ht="60.75" thickBot="1" x14ac:dyDescent="0.3">
      <c r="B37" s="974">
        <v>1</v>
      </c>
      <c r="C37" s="94"/>
      <c r="D37" s="48" t="s">
        <v>676</v>
      </c>
      <c r="E37" s="774" t="s">
        <v>680</v>
      </c>
      <c r="F37" s="5"/>
      <c r="G37" s="5"/>
      <c r="H37" s="5"/>
      <c r="I37" s="5"/>
      <c r="J37" s="5"/>
      <c r="K37" s="5"/>
    </row>
    <row r="38" spans="2:11" ht="84.75" thickBot="1" x14ac:dyDescent="0.3">
      <c r="B38" s="975"/>
      <c r="C38" s="94"/>
      <c r="D38" s="40" t="s">
        <v>525</v>
      </c>
      <c r="E38" s="774" t="s">
        <v>773</v>
      </c>
      <c r="F38" s="5"/>
      <c r="G38" s="5"/>
      <c r="H38" s="5"/>
      <c r="I38" s="5"/>
      <c r="J38" s="5"/>
      <c r="K38" s="5"/>
    </row>
    <row r="39" spans="2:11" ht="15.75" thickBot="1" x14ac:dyDescent="0.3">
      <c r="B39" s="975"/>
      <c r="C39" s="94"/>
      <c r="D39" s="40" t="s">
        <v>677</v>
      </c>
      <c r="E39" s="236"/>
      <c r="F39" s="5"/>
      <c r="G39" s="5"/>
      <c r="H39" s="5"/>
      <c r="I39" s="5"/>
      <c r="J39" s="5"/>
      <c r="K39" s="5"/>
    </row>
    <row r="40" spans="2:11" ht="15.75" thickBot="1" x14ac:dyDescent="0.3">
      <c r="B40" s="975"/>
      <c r="C40" s="94"/>
      <c r="D40" s="40" t="s">
        <v>527</v>
      </c>
      <c r="E40" s="236"/>
      <c r="F40" s="5"/>
      <c r="G40" s="5"/>
      <c r="H40" s="5"/>
      <c r="I40" s="5"/>
      <c r="J40" s="5"/>
      <c r="K40" s="5"/>
    </row>
    <row r="41" spans="2:11" ht="15.75" thickBot="1" x14ac:dyDescent="0.3">
      <c r="B41" s="975"/>
      <c r="C41" s="94"/>
      <c r="D41" s="40" t="s">
        <v>529</v>
      </c>
      <c r="E41" s="236"/>
      <c r="F41" s="5"/>
      <c r="G41" s="5"/>
      <c r="H41" s="5"/>
      <c r="I41" s="5"/>
      <c r="J41" s="5"/>
      <c r="K41" s="5"/>
    </row>
    <row r="42" spans="2:11" ht="15.75" thickBot="1" x14ac:dyDescent="0.3">
      <c r="B42" s="975"/>
      <c r="C42" s="94"/>
      <c r="D42" s="40" t="s">
        <v>531</v>
      </c>
      <c r="E42" s="236"/>
      <c r="F42" s="5"/>
      <c r="G42" s="5"/>
      <c r="H42" s="5"/>
      <c r="I42" s="5"/>
      <c r="J42" s="5"/>
      <c r="K42" s="5"/>
    </row>
    <row r="43" spans="2:11" ht="15.75" thickBot="1" x14ac:dyDescent="0.3">
      <c r="B43" s="976"/>
      <c r="C43" s="2"/>
      <c r="D43" s="40" t="s">
        <v>678</v>
      </c>
      <c r="E43" s="236"/>
      <c r="F43" s="5"/>
      <c r="G43" s="5"/>
      <c r="H43" s="5"/>
      <c r="I43" s="5"/>
      <c r="J43" s="5"/>
      <c r="K43" s="5"/>
    </row>
    <row r="44" spans="2:11" ht="15.75" thickBot="1" x14ac:dyDescent="0.3">
      <c r="B44" s="1"/>
      <c r="C44" s="76"/>
      <c r="D44" s="5"/>
      <c r="E44" s="5"/>
      <c r="F44" s="5"/>
      <c r="G44" s="5"/>
      <c r="H44" s="5"/>
      <c r="I44" s="5"/>
      <c r="J44" s="5"/>
      <c r="K44" s="5"/>
    </row>
    <row r="45" spans="2:11" ht="15" customHeight="1" thickBot="1" x14ac:dyDescent="0.3">
      <c r="B45" s="119" t="s">
        <v>682</v>
      </c>
      <c r="C45" s="120"/>
      <c r="D45" s="120"/>
      <c r="E45" s="120"/>
      <c r="F45" s="121"/>
      <c r="G45" s="5"/>
      <c r="H45" s="5"/>
      <c r="I45" s="5"/>
      <c r="J45" s="5"/>
      <c r="K45" s="5"/>
    </row>
    <row r="46" spans="2:11" ht="15.75" thickBot="1" x14ac:dyDescent="0.3">
      <c r="B46" s="47" t="s">
        <v>683</v>
      </c>
      <c r="C46" s="39" t="s">
        <v>684</v>
      </c>
      <c r="D46" s="39" t="s">
        <v>685</v>
      </c>
      <c r="E46" s="39" t="s">
        <v>686</v>
      </c>
      <c r="F46" s="5"/>
      <c r="G46" s="5"/>
      <c r="H46" s="5"/>
      <c r="I46" s="5"/>
      <c r="J46" s="5"/>
    </row>
    <row r="47" spans="2:11" ht="72.75" thickBot="1" x14ac:dyDescent="0.3">
      <c r="B47" s="49">
        <v>42401</v>
      </c>
      <c r="C47" s="39">
        <v>0.01</v>
      </c>
      <c r="D47" s="50" t="s">
        <v>774</v>
      </c>
      <c r="E47" s="39"/>
      <c r="F47" s="5"/>
      <c r="G47" s="5"/>
      <c r="H47" s="5"/>
      <c r="I47" s="5"/>
      <c r="J47" s="5"/>
    </row>
    <row r="48" spans="2:11" ht="15.75" thickBot="1" x14ac:dyDescent="0.3">
      <c r="B48" s="1"/>
      <c r="C48" s="76"/>
      <c r="D48" s="5"/>
      <c r="E48" s="5"/>
      <c r="F48" s="5"/>
      <c r="G48" s="5"/>
      <c r="H48" s="5"/>
      <c r="I48" s="5"/>
      <c r="J48" s="5"/>
      <c r="K48" s="5"/>
    </row>
    <row r="49" spans="2:11" x14ac:dyDescent="0.25">
      <c r="B49" s="129" t="s">
        <v>593</v>
      </c>
      <c r="C49" s="96"/>
      <c r="D49" s="5"/>
      <c r="E49" s="5"/>
      <c r="F49" s="5"/>
      <c r="G49" s="5"/>
      <c r="H49" s="5"/>
      <c r="I49" s="5"/>
      <c r="J49" s="5"/>
      <c r="K49" s="5"/>
    </row>
    <row r="50" spans="2:11" x14ac:dyDescent="0.25">
      <c r="B50" s="1015"/>
      <c r="C50" s="1016"/>
      <c r="D50" s="1016"/>
      <c r="E50" s="1016"/>
      <c r="F50" s="1016"/>
      <c r="G50" s="1016"/>
      <c r="H50" s="1016"/>
      <c r="I50" s="1016"/>
      <c r="J50" s="1017"/>
      <c r="K50" s="5"/>
    </row>
    <row r="51" spans="2:11" x14ac:dyDescent="0.25">
      <c r="B51" s="5"/>
      <c r="D51" s="5"/>
      <c r="E51" s="5"/>
      <c r="F51" s="5"/>
      <c r="G51" s="5"/>
      <c r="H51" s="5"/>
      <c r="I51" s="5"/>
      <c r="J51" s="5"/>
      <c r="K51" s="5"/>
    </row>
    <row r="52" spans="2:11" ht="15.75" thickBot="1" x14ac:dyDescent="0.3">
      <c r="B52" s="5"/>
      <c r="D52" s="5"/>
      <c r="E52" s="5"/>
      <c r="F52" s="5"/>
      <c r="G52" s="5"/>
      <c r="H52" s="5"/>
      <c r="I52" s="5"/>
      <c r="J52" s="5"/>
      <c r="K52" s="5"/>
    </row>
    <row r="53" spans="2:11" ht="15.75" thickBot="1" x14ac:dyDescent="0.3">
      <c r="B53" s="971" t="s">
        <v>688</v>
      </c>
      <c r="C53" s="972"/>
      <c r="D53" s="973"/>
      <c r="E53" s="5"/>
      <c r="F53" s="5"/>
      <c r="G53" s="5"/>
      <c r="H53" s="5"/>
      <c r="I53" s="5"/>
      <c r="J53" s="5"/>
      <c r="K53" s="5"/>
    </row>
    <row r="54" spans="2:11" ht="15.75" thickBot="1" x14ac:dyDescent="0.3">
      <c r="B54" s="1"/>
      <c r="C54" s="76"/>
      <c r="D54" s="5"/>
      <c r="E54" s="5"/>
      <c r="F54" s="5"/>
      <c r="G54" s="5"/>
      <c r="H54" s="5"/>
      <c r="I54" s="5"/>
      <c r="J54" s="5"/>
      <c r="K54" s="5"/>
    </row>
    <row r="55" spans="2:11" ht="24" customHeight="1" thickBot="1" x14ac:dyDescent="0.3">
      <c r="B55" s="52" t="s">
        <v>689</v>
      </c>
      <c r="C55" s="233"/>
      <c r="D55" s="983" t="s">
        <v>775</v>
      </c>
      <c r="E55" s="984"/>
      <c r="F55" s="984"/>
      <c r="G55" s="984"/>
      <c r="H55" s="984"/>
      <c r="I55" s="984"/>
      <c r="J55" s="985"/>
      <c r="K55" s="5"/>
    </row>
    <row r="56" spans="2:11" x14ac:dyDescent="0.25">
      <c r="B56" s="974" t="s">
        <v>691</v>
      </c>
      <c r="C56" s="89"/>
      <c r="D56" s="965" t="s">
        <v>692</v>
      </c>
      <c r="E56" s="966"/>
      <c r="F56" s="966"/>
      <c r="G56" s="966"/>
      <c r="H56" s="966"/>
      <c r="I56" s="966"/>
      <c r="J56" s="967"/>
      <c r="K56" s="5"/>
    </row>
    <row r="57" spans="2:11" ht="24" customHeight="1" x14ac:dyDescent="0.25">
      <c r="B57" s="975"/>
      <c r="C57" s="92"/>
      <c r="D57" s="962" t="s">
        <v>776</v>
      </c>
      <c r="E57" s="963"/>
      <c r="F57" s="963"/>
      <c r="G57" s="963"/>
      <c r="H57" s="963"/>
      <c r="I57" s="963"/>
      <c r="J57" s="964"/>
      <c r="K57" s="5"/>
    </row>
    <row r="58" spans="2:11" x14ac:dyDescent="0.25">
      <c r="B58" s="975"/>
      <c r="C58" s="92"/>
      <c r="D58" s="959" t="s">
        <v>777</v>
      </c>
      <c r="E58" s="960"/>
      <c r="F58" s="960"/>
      <c r="G58" s="960"/>
      <c r="H58" s="960"/>
      <c r="I58" s="960"/>
      <c r="J58" s="961"/>
      <c r="K58" s="5"/>
    </row>
    <row r="59" spans="2:11" x14ac:dyDescent="0.25">
      <c r="B59" s="975"/>
      <c r="C59" s="92"/>
      <c r="D59" s="962" t="s">
        <v>778</v>
      </c>
      <c r="E59" s="963"/>
      <c r="F59" s="963"/>
      <c r="G59" s="963"/>
      <c r="H59" s="963"/>
      <c r="I59" s="963"/>
      <c r="J59" s="964"/>
      <c r="K59" s="5"/>
    </row>
    <row r="60" spans="2:11" x14ac:dyDescent="0.25">
      <c r="B60" s="975"/>
      <c r="C60" s="92"/>
      <c r="D60" s="962" t="s">
        <v>779</v>
      </c>
      <c r="E60" s="963"/>
      <c r="F60" s="963"/>
      <c r="G60" s="963"/>
      <c r="H60" s="963"/>
      <c r="I60" s="963"/>
      <c r="J60" s="964"/>
      <c r="K60" s="5"/>
    </row>
    <row r="61" spans="2:11" x14ac:dyDescent="0.25">
      <c r="B61" s="975"/>
      <c r="C61" s="92"/>
      <c r="D61" s="962" t="s">
        <v>780</v>
      </c>
      <c r="E61" s="963"/>
      <c r="F61" s="963"/>
      <c r="G61" s="963"/>
      <c r="H61" s="963"/>
      <c r="I61" s="963"/>
      <c r="J61" s="964"/>
      <c r="K61" s="5"/>
    </row>
    <row r="62" spans="2:11" ht="24" customHeight="1" x14ac:dyDescent="0.25">
      <c r="B62" s="975"/>
      <c r="C62" s="92"/>
      <c r="D62" s="962" t="s">
        <v>781</v>
      </c>
      <c r="E62" s="963"/>
      <c r="F62" s="963"/>
      <c r="G62" s="963"/>
      <c r="H62" s="963"/>
      <c r="I62" s="963"/>
      <c r="J62" s="964"/>
      <c r="K62" s="5"/>
    </row>
    <row r="63" spans="2:11" ht="24" customHeight="1" x14ac:dyDescent="0.25">
      <c r="B63" s="975"/>
      <c r="C63" s="92"/>
      <c r="D63" s="962" t="s">
        <v>782</v>
      </c>
      <c r="E63" s="963"/>
      <c r="F63" s="963"/>
      <c r="G63" s="963"/>
      <c r="H63" s="963"/>
      <c r="I63" s="963"/>
      <c r="J63" s="964"/>
      <c r="K63" s="5"/>
    </row>
    <row r="64" spans="2:11" x14ac:dyDescent="0.25">
      <c r="B64" s="975"/>
      <c r="C64" s="92"/>
      <c r="D64" s="962" t="s">
        <v>783</v>
      </c>
      <c r="E64" s="963"/>
      <c r="F64" s="963"/>
      <c r="G64" s="963"/>
      <c r="H64" s="963"/>
      <c r="I64" s="963"/>
      <c r="J64" s="964"/>
      <c r="K64" s="5"/>
    </row>
    <row r="65" spans="2:11" x14ac:dyDescent="0.25">
      <c r="B65" s="975"/>
      <c r="C65" s="92"/>
      <c r="D65" s="959" t="s">
        <v>784</v>
      </c>
      <c r="E65" s="960"/>
      <c r="F65" s="960"/>
      <c r="G65" s="960"/>
      <c r="H65" s="960"/>
      <c r="I65" s="960"/>
      <c r="J65" s="961"/>
      <c r="K65" s="5"/>
    </row>
    <row r="66" spans="2:11" ht="15.75" thickBot="1" x14ac:dyDescent="0.3">
      <c r="B66" s="976"/>
      <c r="C66" s="93"/>
      <c r="D66" s="986" t="s">
        <v>785</v>
      </c>
      <c r="E66" s="987"/>
      <c r="F66" s="987"/>
      <c r="G66" s="987"/>
      <c r="H66" s="987"/>
      <c r="I66" s="987"/>
      <c r="J66" s="988"/>
      <c r="K66" s="5"/>
    </row>
    <row r="67" spans="2:11" ht="24.75" thickBot="1" x14ac:dyDescent="0.3">
      <c r="B67" s="47" t="s">
        <v>704</v>
      </c>
      <c r="C67" s="93"/>
      <c r="D67" s="983"/>
      <c r="E67" s="984"/>
      <c r="F67" s="984"/>
      <c r="G67" s="984"/>
      <c r="H67" s="984"/>
      <c r="I67" s="984"/>
      <c r="J67" s="985"/>
      <c r="K67" s="5"/>
    </row>
    <row r="68" spans="2:11" ht="24.75" thickBot="1" x14ac:dyDescent="0.3">
      <c r="B68" s="47" t="s">
        <v>705</v>
      </c>
      <c r="C68" s="93"/>
      <c r="D68" s="983" t="s">
        <v>786</v>
      </c>
      <c r="E68" s="984"/>
      <c r="F68" s="984"/>
      <c r="G68" s="984"/>
      <c r="H68" s="984"/>
      <c r="I68" s="984"/>
      <c r="J68" s="985"/>
      <c r="K68" s="5"/>
    </row>
    <row r="69" spans="2:11" x14ac:dyDescent="0.25">
      <c r="B69" s="974" t="s">
        <v>722</v>
      </c>
      <c r="C69" s="89"/>
      <c r="D69" s="956"/>
      <c r="E69" s="957"/>
      <c r="F69" s="957"/>
      <c r="G69" s="957"/>
      <c r="H69" s="957"/>
      <c r="I69" s="957"/>
      <c r="J69" s="958"/>
      <c r="K69" s="5"/>
    </row>
    <row r="70" spans="2:11" x14ac:dyDescent="0.25">
      <c r="B70" s="975"/>
      <c r="C70" s="92"/>
      <c r="D70" s="992"/>
      <c r="E70" s="993"/>
      <c r="F70" s="993"/>
      <c r="G70" s="993"/>
      <c r="H70" s="993"/>
      <c r="I70" s="993"/>
      <c r="J70" s="994"/>
      <c r="K70" s="5"/>
    </row>
    <row r="71" spans="2:11" x14ac:dyDescent="0.25">
      <c r="B71" s="975"/>
      <c r="C71" s="92"/>
      <c r="D71" s="962" t="s">
        <v>723</v>
      </c>
      <c r="E71" s="963"/>
      <c r="F71" s="963"/>
      <c r="G71" s="963"/>
      <c r="H71" s="963"/>
      <c r="I71" s="963"/>
      <c r="J71" s="964"/>
      <c r="K71" s="5"/>
    </row>
    <row r="72" spans="2:11" ht="26.45" customHeight="1" x14ac:dyDescent="0.25">
      <c r="B72" s="975"/>
      <c r="C72" s="92"/>
      <c r="D72" s="962" t="s">
        <v>787</v>
      </c>
      <c r="E72" s="963"/>
      <c r="F72" s="963"/>
      <c r="G72" s="963"/>
      <c r="H72" s="963"/>
      <c r="I72" s="963"/>
      <c r="J72" s="964"/>
      <c r="K72" s="5"/>
    </row>
    <row r="73" spans="2:11" ht="14.45" customHeight="1" x14ac:dyDescent="0.25">
      <c r="B73" s="975"/>
      <c r="C73" s="92"/>
      <c r="D73" s="962" t="s">
        <v>788</v>
      </c>
      <c r="E73" s="963"/>
      <c r="F73" s="963"/>
      <c r="G73" s="963"/>
      <c r="H73" s="963"/>
      <c r="I73" s="963"/>
      <c r="J73" s="964"/>
      <c r="K73" s="5"/>
    </row>
    <row r="74" spans="2:11" ht="14.45" customHeight="1" x14ac:dyDescent="0.25">
      <c r="B74" s="975"/>
      <c r="C74" s="92"/>
      <c r="D74" s="962" t="s">
        <v>789</v>
      </c>
      <c r="E74" s="963"/>
      <c r="F74" s="963"/>
      <c r="G74" s="963"/>
      <c r="H74" s="963"/>
      <c r="I74" s="963"/>
      <c r="J74" s="964"/>
      <c r="K74" s="5"/>
    </row>
    <row r="75" spans="2:11" ht="24" customHeight="1" thickBot="1" x14ac:dyDescent="0.3">
      <c r="B75" s="976"/>
      <c r="C75" s="93"/>
      <c r="D75" s="986" t="s">
        <v>790</v>
      </c>
      <c r="E75" s="987"/>
      <c r="F75" s="987"/>
      <c r="G75" s="987"/>
      <c r="H75" s="987"/>
      <c r="I75" s="987"/>
      <c r="J75" s="988"/>
      <c r="K75" s="5"/>
    </row>
    <row r="76" spans="2:11" x14ac:dyDescent="0.25">
      <c r="B76" s="5"/>
      <c r="D76" s="5"/>
      <c r="E76" s="5"/>
      <c r="F76" s="5"/>
      <c r="G76" s="5"/>
      <c r="H76" s="5"/>
      <c r="I76" s="5"/>
      <c r="J76" s="5"/>
      <c r="K76" s="5"/>
    </row>
  </sheetData>
  <mergeCells count="44">
    <mergeCell ref="B10:D10"/>
    <mergeCell ref="F10:S10"/>
    <mergeCell ref="F11:S11"/>
    <mergeCell ref="E12:R12"/>
    <mergeCell ref="A1:P1"/>
    <mergeCell ref="A2:P2"/>
    <mergeCell ref="A3:P3"/>
    <mergeCell ref="A4:D4"/>
    <mergeCell ref="A5:P5"/>
    <mergeCell ref="B69:B75"/>
    <mergeCell ref="D69:J69"/>
    <mergeCell ref="D70:J70"/>
    <mergeCell ref="D71:J71"/>
    <mergeCell ref="D72:J72"/>
    <mergeCell ref="D73:J73"/>
    <mergeCell ref="D74:J74"/>
    <mergeCell ref="D75:J75"/>
    <mergeCell ref="D65:J65"/>
    <mergeCell ref="D66:J66"/>
    <mergeCell ref="B50:J50"/>
    <mergeCell ref="D68:J68"/>
    <mergeCell ref="B53:D53"/>
    <mergeCell ref="D55:J55"/>
    <mergeCell ref="B56:B66"/>
    <mergeCell ref="D56:J56"/>
    <mergeCell ref="D57:J57"/>
    <mergeCell ref="D58:J58"/>
    <mergeCell ref="D59:J59"/>
    <mergeCell ref="D60:J60"/>
    <mergeCell ref="D67:J67"/>
    <mergeCell ref="E13:R13"/>
    <mergeCell ref="D61:J61"/>
    <mergeCell ref="D62:J62"/>
    <mergeCell ref="D63:J63"/>
    <mergeCell ref="D64:J64"/>
    <mergeCell ref="B36:E36"/>
    <mergeCell ref="B37:B43"/>
    <mergeCell ref="B15:B23"/>
    <mergeCell ref="D15:J15"/>
    <mergeCell ref="D19:J19"/>
    <mergeCell ref="D24:J24"/>
    <mergeCell ref="D25:J25"/>
    <mergeCell ref="B27:E27"/>
    <mergeCell ref="B28:B34"/>
  </mergeCells>
  <conditionalFormatting sqref="E12:R12">
    <cfRule type="expression" dxfId="118" priority="1">
      <formula>E11="SI SE REPORTA"</formula>
    </cfRule>
  </conditionalFormatting>
  <conditionalFormatting sqref="F10">
    <cfRule type="notContainsBlanks" dxfId="117" priority="4">
      <formula>LEN(TRIM(F10))&gt;0</formula>
    </cfRule>
  </conditionalFormatting>
  <conditionalFormatting sqref="F11:S11">
    <cfRule type="expression" dxfId="116" priority="2">
      <formula>E11="NO SE REPORTA"</formula>
    </cfRule>
    <cfRule type="expression" dxfId="115" priority="3">
      <formula>E10="NO APLICA"</formula>
    </cfRule>
  </conditionalFormatting>
  <dataValidations count="4">
    <dataValidation type="list" allowBlank="1" showInputMessage="1" showErrorMessage="1" sqref="E10" xr:uid="{00000000-0002-0000-0A00-000003000000}">
      <formula1>SI</formula1>
    </dataValidation>
    <dataValidation type="list" allowBlank="1" showInputMessage="1" showErrorMessage="1" sqref="E11" xr:uid="{00000000-0002-0000-0A00-000002000000}">
      <formula1>REPORTE</formula1>
    </dataValidation>
    <dataValidation allowBlank="1" showInputMessage="1" showErrorMessage="1" sqref="I21:I22" xr:uid="{00000000-0002-0000-0A00-000001000000}"/>
    <dataValidation type="whole" operator="greaterThanOrEqual" allowBlank="1" showErrorMessage="1" errorTitle="ERROR" error="Escriba un número igual o mayor que 0" promptTitle="ERROR" prompt="Escriba un número igual o mayor que 0" sqref="E16:E18 E21:H22" xr:uid="{00000000-0002-0000-0A00-000000000000}">
      <formula1>0</formula1>
    </dataValidation>
  </dataValidations>
  <hyperlinks>
    <hyperlink ref="B9" location="'ANEXO 3'!A1" display="VOLVER AL INDICE" xr:uid="{EF98810F-22F7-4090-BB10-2D2EA064467F}"/>
  </hyperlinks>
  <pageMargins left="0.25" right="0.25" top="0.75" bottom="0.75" header="0.3" footer="0.3"/>
  <pageSetup paperSize="178"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C1B56-2070-45A2-982D-4CC9BE1486F7}">
  <dimension ref="A1:U75"/>
  <sheetViews>
    <sheetView showGridLines="0" topLeftCell="A35" zoomScale="98" zoomScaleNormal="98" workbookViewId="0">
      <selection activeCell="E21" sqref="E21"/>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5</v>
      </c>
      <c r="B5" s="998"/>
      <c r="C5" s="998"/>
      <c r="D5" s="998"/>
      <c r="E5" s="998"/>
      <c r="F5" s="998"/>
      <c r="G5" s="998"/>
      <c r="H5" s="998"/>
      <c r="I5" s="998"/>
      <c r="J5" s="998"/>
      <c r="K5" s="998"/>
      <c r="L5" s="998"/>
      <c r="M5" s="998"/>
      <c r="N5" s="998"/>
      <c r="O5" s="998"/>
      <c r="P5" s="999"/>
    </row>
    <row r="6" spans="1:21" x14ac:dyDescent="0.25">
      <c r="B6" s="1" t="s">
        <v>626</v>
      </c>
      <c r="C6" s="76"/>
      <c r="D6" s="5"/>
      <c r="E6" s="74"/>
      <c r="F6" s="5" t="s">
        <v>627</v>
      </c>
      <c r="G6" s="5"/>
      <c r="H6" s="5"/>
      <c r="I6" s="5"/>
      <c r="J6" s="5"/>
      <c r="K6" s="5"/>
    </row>
    <row r="7" spans="1:21" ht="15.75" thickBot="1" x14ac:dyDescent="0.3">
      <c r="B7" s="75"/>
      <c r="C7" s="77"/>
      <c r="D7" s="5"/>
      <c r="E7" s="17"/>
      <c r="F7" s="5" t="s">
        <v>628</v>
      </c>
      <c r="G7" s="5"/>
      <c r="H7" s="5"/>
      <c r="I7" s="5"/>
      <c r="J7" s="5"/>
      <c r="K7" s="5"/>
    </row>
    <row r="8" spans="1:21" ht="15.75" thickBot="1" x14ac:dyDescent="0.3">
      <c r="B8" s="171" t="s">
        <v>629</v>
      </c>
      <c r="C8" s="211">
        <v>2024</v>
      </c>
      <c r="D8" s="216">
        <f>IF(E10="NO APLICA","NO APLICA",IF(E11="NO SE REPORTA","SIN INFORMACION",+E22))</f>
        <v>0.96</v>
      </c>
      <c r="E8" s="212"/>
      <c r="F8" s="5" t="s">
        <v>630</v>
      </c>
      <c r="G8" s="5"/>
      <c r="H8" s="5"/>
      <c r="I8" s="5"/>
      <c r="J8" s="5"/>
      <c r="K8" s="5"/>
    </row>
    <row r="9" spans="1:21" x14ac:dyDescent="0.25">
      <c r="B9" s="358" t="s">
        <v>631</v>
      </c>
      <c r="C9" s="88"/>
      <c r="D9" s="5"/>
      <c r="E9" s="5"/>
      <c r="F9" s="5"/>
      <c r="G9" s="5"/>
      <c r="H9" s="5"/>
      <c r="I9" s="5"/>
      <c r="J9" s="5"/>
      <c r="K9" s="5"/>
    </row>
    <row r="10" spans="1:21" x14ac:dyDescent="0.25">
      <c r="B10" s="1008" t="s">
        <v>632</v>
      </c>
      <c r="C10" s="1008"/>
      <c r="D10" s="1008"/>
      <c r="E10" s="361" t="s">
        <v>633</v>
      </c>
      <c r="F10" s="99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96"/>
      <c r="H10" s="996"/>
      <c r="I10" s="996"/>
      <c r="J10" s="996"/>
      <c r="K10" s="996"/>
      <c r="L10" s="996"/>
      <c r="M10" s="996"/>
      <c r="N10" s="996"/>
      <c r="O10" s="996"/>
      <c r="P10" s="996"/>
      <c r="Q10" s="996"/>
      <c r="R10" s="996"/>
      <c r="S10" s="996"/>
      <c r="T10" s="5"/>
      <c r="U10" s="5"/>
    </row>
    <row r="11" spans="1:21" ht="14.45" customHeight="1" x14ac:dyDescent="0.25">
      <c r="B11" s="360"/>
      <c r="C11" s="88"/>
      <c r="D11" s="171" t="str">
        <f>IF(E10="SI APLICA","¿El indicador no se reporta por limitaciones de información disponible? ","")</f>
        <v xml:space="preserve">¿El indicador no se reporta por limitaciones de información disponible? </v>
      </c>
      <c r="E11" s="362" t="s">
        <v>634</v>
      </c>
      <c r="F11" s="1009"/>
      <c r="G11" s="1010"/>
      <c r="H11" s="1010"/>
      <c r="I11" s="1010"/>
      <c r="J11" s="1010"/>
      <c r="K11" s="1010"/>
      <c r="L11" s="1010"/>
      <c r="M11" s="1010"/>
      <c r="N11" s="1010"/>
      <c r="O11" s="1010"/>
      <c r="P11" s="1010"/>
      <c r="Q11" s="1010"/>
      <c r="R11" s="1010"/>
      <c r="S11" s="1010"/>
    </row>
    <row r="12" spans="1:21" ht="23.45" customHeight="1" x14ac:dyDescent="0.25">
      <c r="B12" s="358"/>
      <c r="C12" s="88"/>
      <c r="D12" s="171" t="str">
        <f>IF(E11="SI SE REPORTA","¿Qué programas o proyectos del Plan de Acción están asociados al indicador? ","")</f>
        <v xml:space="preserve">¿Qué programas o proyectos del Plan de Acción están asociados al indicador? </v>
      </c>
      <c r="E12" s="1011" t="s">
        <v>2307</v>
      </c>
      <c r="F12" s="1011"/>
      <c r="G12" s="1011"/>
      <c r="H12" s="1011"/>
      <c r="I12" s="1011"/>
      <c r="J12" s="1011"/>
      <c r="K12" s="1011"/>
      <c r="L12" s="1011"/>
      <c r="M12" s="1011"/>
      <c r="N12" s="1011"/>
      <c r="O12" s="1011"/>
      <c r="P12" s="1011"/>
      <c r="Q12" s="1011"/>
      <c r="R12" s="1011"/>
    </row>
    <row r="13" spans="1:21" ht="21.95" customHeight="1" x14ac:dyDescent="0.25">
      <c r="B13" s="358"/>
      <c r="C13" s="88"/>
      <c r="D13" s="171" t="s">
        <v>635</v>
      </c>
      <c r="E13" s="1012"/>
      <c r="F13" s="1013"/>
      <c r="G13" s="1013"/>
      <c r="H13" s="1013"/>
      <c r="I13" s="1013"/>
      <c r="J13" s="1013"/>
      <c r="K13" s="1013"/>
      <c r="L13" s="1013"/>
      <c r="M13" s="1013"/>
      <c r="N13" s="1013"/>
      <c r="O13" s="1013"/>
      <c r="P13" s="1013"/>
      <c r="Q13" s="1013"/>
      <c r="R13" s="1014"/>
    </row>
    <row r="14" spans="1:21" ht="6.95" customHeight="1" thickBot="1" x14ac:dyDescent="0.3">
      <c r="B14" s="358"/>
      <c r="C14" s="88"/>
      <c r="D14" s="5"/>
      <c r="E14" s="5"/>
      <c r="F14" s="5"/>
      <c r="G14" s="5"/>
      <c r="H14" s="5"/>
      <c r="I14" s="5"/>
      <c r="J14" s="5"/>
      <c r="K14" s="5"/>
    </row>
    <row r="15" spans="1:21" ht="15.75" thickBot="1" x14ac:dyDescent="0.3">
      <c r="B15" s="974" t="s">
        <v>636</v>
      </c>
      <c r="C15" s="89"/>
      <c r="D15" s="956" t="s">
        <v>637</v>
      </c>
      <c r="E15" s="957"/>
      <c r="F15" s="957"/>
      <c r="G15" s="957"/>
      <c r="H15" s="957"/>
      <c r="I15" s="957"/>
      <c r="J15" s="958"/>
      <c r="K15" s="5"/>
    </row>
    <row r="16" spans="1:21" ht="36.75" thickBot="1" x14ac:dyDescent="0.3">
      <c r="B16" s="975"/>
      <c r="C16" s="94"/>
      <c r="D16" s="43" t="s">
        <v>791</v>
      </c>
      <c r="E16" s="206">
        <v>25</v>
      </c>
      <c r="F16" s="5"/>
      <c r="G16" s="5"/>
      <c r="H16" s="5"/>
      <c r="I16" s="5"/>
      <c r="J16" s="21"/>
      <c r="K16" s="5"/>
    </row>
    <row r="17" spans="2:11" ht="48.75" thickBot="1" x14ac:dyDescent="0.3">
      <c r="B17" s="975"/>
      <c r="C17" s="94"/>
      <c r="D17" s="40" t="s">
        <v>792</v>
      </c>
      <c r="E17" s="206">
        <v>24</v>
      </c>
      <c r="F17" s="5"/>
      <c r="G17" s="5"/>
      <c r="H17" s="5"/>
      <c r="I17" s="5"/>
      <c r="J17" s="21"/>
      <c r="K17" s="5"/>
    </row>
    <row r="18" spans="2:11" ht="15.75" thickBot="1" x14ac:dyDescent="0.3">
      <c r="B18" s="975"/>
      <c r="C18" s="92"/>
      <c r="D18" s="986"/>
      <c r="E18" s="987"/>
      <c r="F18" s="987"/>
      <c r="G18" s="987"/>
      <c r="H18" s="987"/>
      <c r="I18" s="987"/>
      <c r="J18" s="988"/>
      <c r="K18" s="5"/>
    </row>
    <row r="19" spans="2:11" ht="15.75" thickBot="1" x14ac:dyDescent="0.3">
      <c r="B19" s="975"/>
      <c r="C19" s="98" t="s">
        <v>585</v>
      </c>
      <c r="D19" s="43" t="s">
        <v>763</v>
      </c>
      <c r="E19" s="38" t="s">
        <v>587</v>
      </c>
      <c r="F19" s="38" t="s">
        <v>588</v>
      </c>
      <c r="G19" s="38" t="s">
        <v>589</v>
      </c>
      <c r="H19" s="38" t="s">
        <v>590</v>
      </c>
      <c r="I19" s="220" t="s">
        <v>593</v>
      </c>
      <c r="J19" s="111"/>
      <c r="K19" s="5"/>
    </row>
    <row r="20" spans="2:11" ht="36.75" thickBot="1" x14ac:dyDescent="0.3">
      <c r="B20" s="975"/>
      <c r="C20" s="2" t="s">
        <v>765</v>
      </c>
      <c r="D20" s="40" t="s">
        <v>793</v>
      </c>
      <c r="E20" s="206">
        <v>25</v>
      </c>
      <c r="F20" s="206"/>
      <c r="G20" s="206"/>
      <c r="H20" s="206"/>
      <c r="I20" s="30"/>
      <c r="J20" s="112"/>
      <c r="K20" s="5"/>
    </row>
    <row r="21" spans="2:11" ht="36.75" thickBot="1" x14ac:dyDescent="0.3">
      <c r="B21" s="975"/>
      <c r="C21" s="2" t="s">
        <v>767</v>
      </c>
      <c r="D21" s="40" t="s">
        <v>794</v>
      </c>
      <c r="E21" s="206">
        <v>24</v>
      </c>
      <c r="F21" s="206">
        <v>0</v>
      </c>
      <c r="G21" s="206">
        <v>0</v>
      </c>
      <c r="H21" s="206">
        <v>0</v>
      </c>
      <c r="I21" s="30"/>
      <c r="J21" s="112"/>
      <c r="K21" s="5"/>
    </row>
    <row r="22" spans="2:11" ht="36.75" thickBot="1" x14ac:dyDescent="0.3">
      <c r="B22" s="976"/>
      <c r="C22" s="2" t="s">
        <v>769</v>
      </c>
      <c r="D22" s="40" t="s">
        <v>795</v>
      </c>
      <c r="E22" s="185">
        <f>IFERROR(E21/E20,"N.A.")</f>
        <v>0.96</v>
      </c>
      <c r="F22" s="185" t="str">
        <f>IFERROR(F21/F20,"N.A.")</f>
        <v>N.A.</v>
      </c>
      <c r="G22" s="185" t="str">
        <f>IFERROR(G21/G20,"N.A.")</f>
        <v>N.A.</v>
      </c>
      <c r="H22" s="185" t="str">
        <f>IFERROR(H21/H20,"N.A.")</f>
        <v>N.A.</v>
      </c>
      <c r="I22" s="357"/>
      <c r="J22" s="113"/>
      <c r="K22" s="5"/>
    </row>
    <row r="23" spans="2:11" ht="24" customHeight="1" thickBot="1" x14ac:dyDescent="0.3">
      <c r="B23" s="47" t="s">
        <v>671</v>
      </c>
      <c r="C23" s="93"/>
      <c r="D23" s="983" t="s">
        <v>796</v>
      </c>
      <c r="E23" s="984"/>
      <c r="F23" s="984"/>
      <c r="G23" s="984"/>
      <c r="H23" s="984"/>
      <c r="I23" s="984"/>
      <c r="J23" s="985"/>
      <c r="K23" s="5"/>
    </row>
    <row r="24" spans="2:11" ht="24.75" thickBot="1" x14ac:dyDescent="0.3">
      <c r="B24" s="47" t="s">
        <v>673</v>
      </c>
      <c r="C24" s="93"/>
      <c r="D24" s="983" t="s">
        <v>772</v>
      </c>
      <c r="E24" s="984"/>
      <c r="F24" s="984"/>
      <c r="G24" s="984"/>
      <c r="H24" s="984"/>
      <c r="I24" s="984"/>
      <c r="J24" s="985"/>
      <c r="K24" s="5"/>
    </row>
    <row r="25" spans="2:11" ht="15.75" thickBot="1" x14ac:dyDescent="0.3">
      <c r="B25" s="1"/>
      <c r="C25" s="76"/>
      <c r="D25" s="5"/>
      <c r="E25" s="5"/>
      <c r="F25" s="5"/>
      <c r="G25" s="5"/>
      <c r="H25" s="5"/>
      <c r="I25" s="5"/>
      <c r="J25" s="5"/>
      <c r="K25" s="5"/>
    </row>
    <row r="26" spans="2:11" ht="24" customHeight="1" thickBot="1" x14ac:dyDescent="0.3">
      <c r="B26" s="971" t="s">
        <v>675</v>
      </c>
      <c r="C26" s="972"/>
      <c r="D26" s="972"/>
      <c r="E26" s="973"/>
      <c r="F26" s="5"/>
      <c r="G26" s="5"/>
      <c r="H26" s="5"/>
      <c r="I26" s="5"/>
      <c r="J26" s="5"/>
      <c r="K26" s="5"/>
    </row>
    <row r="27" spans="2:11" ht="48.75" thickBot="1" x14ac:dyDescent="0.3">
      <c r="B27" s="974">
        <v>1</v>
      </c>
      <c r="C27" s="94"/>
      <c r="D27" s="48" t="s">
        <v>676</v>
      </c>
      <c r="E27" s="337" t="s">
        <v>2301</v>
      </c>
      <c r="F27" s="5"/>
      <c r="G27" s="5"/>
      <c r="H27" s="5"/>
      <c r="I27" s="5"/>
      <c r="J27" s="5"/>
      <c r="K27" s="5"/>
    </row>
    <row r="28" spans="2:11" ht="36.75" thickBot="1" x14ac:dyDescent="0.3">
      <c r="B28" s="975"/>
      <c r="C28" s="94"/>
      <c r="D28" s="40" t="s">
        <v>525</v>
      </c>
      <c r="E28" s="337" t="s">
        <v>2302</v>
      </c>
      <c r="F28" s="5"/>
      <c r="G28" s="5"/>
      <c r="H28" s="5"/>
      <c r="I28" s="5"/>
      <c r="J28" s="5"/>
      <c r="K28" s="5"/>
    </row>
    <row r="29" spans="2:11" ht="36.75" thickBot="1" x14ac:dyDescent="0.3">
      <c r="B29" s="975"/>
      <c r="C29" s="94"/>
      <c r="D29" s="40" t="s">
        <v>677</v>
      </c>
      <c r="E29" s="337" t="s">
        <v>2303</v>
      </c>
      <c r="F29" s="5"/>
      <c r="G29" s="5"/>
      <c r="H29" s="5"/>
      <c r="I29" s="5"/>
      <c r="J29" s="5"/>
      <c r="K29" s="5"/>
    </row>
    <row r="30" spans="2:11" ht="15.75" thickBot="1" x14ac:dyDescent="0.3">
      <c r="B30" s="975"/>
      <c r="C30" s="94"/>
      <c r="D30" s="40" t="s">
        <v>527</v>
      </c>
      <c r="E30" s="337" t="s">
        <v>2304</v>
      </c>
      <c r="F30" s="5"/>
      <c r="G30" s="5"/>
      <c r="H30" s="5"/>
      <c r="I30" s="5"/>
      <c r="J30" s="5"/>
      <c r="K30" s="5"/>
    </row>
    <row r="31" spans="2:11" ht="48.75" thickBot="1" x14ac:dyDescent="0.3">
      <c r="B31" s="975"/>
      <c r="C31" s="94"/>
      <c r="D31" s="40" t="s">
        <v>529</v>
      </c>
      <c r="E31" s="337" t="s">
        <v>2305</v>
      </c>
      <c r="F31" s="5"/>
      <c r="G31" s="5"/>
      <c r="H31" s="5"/>
      <c r="I31" s="5"/>
      <c r="J31" s="5"/>
      <c r="K31" s="5"/>
    </row>
    <row r="32" spans="2:11" ht="15.75" thickBot="1" x14ac:dyDescent="0.3">
      <c r="B32" s="975"/>
      <c r="C32" s="94"/>
      <c r="D32" s="40" t="s">
        <v>531</v>
      </c>
      <c r="E32" s="337">
        <v>5748960</v>
      </c>
      <c r="F32" s="5"/>
      <c r="G32" s="5"/>
      <c r="H32" s="5"/>
      <c r="I32" s="5"/>
      <c r="J32" s="5"/>
      <c r="K32" s="5"/>
    </row>
    <row r="33" spans="2:11" ht="36.75" thickBot="1" x14ac:dyDescent="0.3">
      <c r="B33" s="976"/>
      <c r="C33" s="2"/>
      <c r="D33" s="40" t="s">
        <v>678</v>
      </c>
      <c r="E33" s="337" t="s">
        <v>2306</v>
      </c>
      <c r="F33" s="5"/>
      <c r="G33" s="5"/>
      <c r="H33" s="5"/>
      <c r="I33" s="5"/>
      <c r="J33" s="5"/>
      <c r="K33" s="5"/>
    </row>
    <row r="34" spans="2:11" ht="15.75" thickBot="1" x14ac:dyDescent="0.3">
      <c r="B34" s="1"/>
      <c r="C34" s="76"/>
      <c r="D34" s="5"/>
      <c r="E34" s="5"/>
      <c r="F34" s="5"/>
      <c r="G34" s="5"/>
      <c r="H34" s="5"/>
      <c r="I34" s="5"/>
      <c r="J34" s="5"/>
      <c r="K34" s="5"/>
    </row>
    <row r="35" spans="2:11" ht="15.75" thickBot="1" x14ac:dyDescent="0.3">
      <c r="B35" s="971" t="s">
        <v>679</v>
      </c>
      <c r="C35" s="972"/>
      <c r="D35" s="972"/>
      <c r="E35" s="973"/>
      <c r="F35" s="5"/>
      <c r="G35" s="5"/>
      <c r="H35" s="5"/>
      <c r="I35" s="5"/>
      <c r="J35" s="5"/>
      <c r="K35" s="5"/>
    </row>
    <row r="36" spans="2:11" ht="15.75" thickBot="1" x14ac:dyDescent="0.3">
      <c r="B36" s="974">
        <v>1</v>
      </c>
      <c r="C36" s="94"/>
      <c r="D36" s="48" t="s">
        <v>676</v>
      </c>
      <c r="E36" s="235" t="s">
        <v>680</v>
      </c>
      <c r="F36" s="5"/>
      <c r="G36" s="5"/>
      <c r="H36" s="5"/>
      <c r="I36" s="5"/>
      <c r="J36" s="5"/>
      <c r="K36" s="5"/>
    </row>
    <row r="37" spans="2:11" ht="15.75" thickBot="1" x14ac:dyDescent="0.3">
      <c r="B37" s="975"/>
      <c r="C37" s="94"/>
      <c r="D37" s="40" t="s">
        <v>525</v>
      </c>
      <c r="E37" s="235" t="s">
        <v>773</v>
      </c>
      <c r="F37" s="5"/>
      <c r="G37" s="5"/>
      <c r="H37" s="5"/>
      <c r="I37" s="5"/>
      <c r="J37" s="5"/>
      <c r="K37" s="5"/>
    </row>
    <row r="38" spans="2:11" ht="15.75" thickBot="1" x14ac:dyDescent="0.3">
      <c r="B38" s="975"/>
      <c r="C38" s="94"/>
      <c r="D38" s="40" t="s">
        <v>677</v>
      </c>
      <c r="E38" s="239"/>
      <c r="F38" s="5"/>
      <c r="G38" s="5"/>
      <c r="H38" s="5"/>
      <c r="I38" s="5"/>
      <c r="J38" s="5"/>
      <c r="K38" s="5"/>
    </row>
    <row r="39" spans="2:11" ht="15.75" thickBot="1" x14ac:dyDescent="0.3">
      <c r="B39" s="975"/>
      <c r="C39" s="94"/>
      <c r="D39" s="40" t="s">
        <v>527</v>
      </c>
      <c r="E39" s="239"/>
      <c r="F39" s="5"/>
      <c r="G39" s="5"/>
      <c r="H39" s="5"/>
      <c r="I39" s="5"/>
      <c r="J39" s="5"/>
      <c r="K39" s="5"/>
    </row>
    <row r="40" spans="2:11" ht="15.75" thickBot="1" x14ac:dyDescent="0.3">
      <c r="B40" s="975"/>
      <c r="C40" s="94"/>
      <c r="D40" s="40" t="s">
        <v>529</v>
      </c>
      <c r="E40" s="239"/>
      <c r="F40" s="5"/>
      <c r="G40" s="5"/>
      <c r="H40" s="5"/>
      <c r="I40" s="5"/>
      <c r="J40" s="5"/>
      <c r="K40" s="5"/>
    </row>
    <row r="41" spans="2:11" ht="15.75" thickBot="1" x14ac:dyDescent="0.3">
      <c r="B41" s="975"/>
      <c r="C41" s="94"/>
      <c r="D41" s="40" t="s">
        <v>531</v>
      </c>
      <c r="E41" s="239"/>
      <c r="F41" s="5"/>
      <c r="G41" s="5"/>
      <c r="H41" s="5"/>
      <c r="I41" s="5"/>
      <c r="J41" s="5"/>
      <c r="K41" s="5"/>
    </row>
    <row r="42" spans="2:11" ht="15.75" thickBot="1" x14ac:dyDescent="0.3">
      <c r="B42" s="976"/>
      <c r="C42" s="2"/>
      <c r="D42" s="40" t="s">
        <v>678</v>
      </c>
      <c r="E42" s="239"/>
      <c r="F42" s="5"/>
      <c r="G42" s="5"/>
      <c r="H42" s="5"/>
      <c r="I42" s="5"/>
      <c r="J42" s="5"/>
      <c r="K42" s="5"/>
    </row>
    <row r="43" spans="2:11" ht="15.75" thickBot="1" x14ac:dyDescent="0.3">
      <c r="B43" s="1"/>
      <c r="C43" s="76"/>
      <c r="D43" s="5"/>
      <c r="E43" s="5"/>
      <c r="F43" s="5"/>
      <c r="G43" s="5"/>
      <c r="H43" s="5"/>
      <c r="I43" s="5"/>
      <c r="J43" s="5"/>
      <c r="K43" s="5"/>
    </row>
    <row r="44" spans="2:11" ht="15" customHeight="1" thickBot="1" x14ac:dyDescent="0.3">
      <c r="B44" s="238" t="s">
        <v>682</v>
      </c>
      <c r="C44" s="120"/>
      <c r="D44" s="120"/>
      <c r="E44" s="121"/>
      <c r="G44" s="5"/>
      <c r="H44" s="5"/>
      <c r="I44" s="5"/>
      <c r="J44" s="5"/>
      <c r="K44" s="5"/>
    </row>
    <row r="45" spans="2:11" ht="24.75" thickBot="1" x14ac:dyDescent="0.3">
      <c r="B45" s="47" t="s">
        <v>683</v>
      </c>
      <c r="C45" s="40" t="s">
        <v>684</v>
      </c>
      <c r="D45" s="40" t="s">
        <v>685</v>
      </c>
      <c r="E45" s="40" t="s">
        <v>686</v>
      </c>
      <c r="F45" s="5"/>
      <c r="G45" s="5"/>
      <c r="H45" s="5"/>
      <c r="I45" s="5"/>
      <c r="J45" s="5"/>
    </row>
    <row r="46" spans="2:11" ht="72.75" thickBot="1" x14ac:dyDescent="0.3">
      <c r="B46" s="49">
        <v>42401</v>
      </c>
      <c r="C46" s="40">
        <v>0.01</v>
      </c>
      <c r="D46" s="68" t="s">
        <v>797</v>
      </c>
      <c r="E46" s="40"/>
      <c r="F46" s="5"/>
      <c r="G46" s="5"/>
      <c r="H46" s="5"/>
      <c r="I46" s="5"/>
      <c r="J46" s="5"/>
    </row>
    <row r="47" spans="2:11" ht="15.75" thickBot="1" x14ac:dyDescent="0.3">
      <c r="B47" s="3"/>
      <c r="C47" s="95"/>
      <c r="D47" s="5"/>
      <c r="E47" s="5"/>
      <c r="F47" s="5"/>
      <c r="G47" s="5"/>
      <c r="H47" s="5"/>
      <c r="I47" s="5"/>
      <c r="J47" s="5"/>
      <c r="K47" s="5"/>
    </row>
    <row r="48" spans="2:11" x14ac:dyDescent="0.25">
      <c r="B48" s="129" t="s">
        <v>593</v>
      </c>
      <c r="C48" s="96"/>
      <c r="D48" s="5"/>
      <c r="E48" s="5"/>
      <c r="F48" s="5"/>
      <c r="G48" s="5"/>
      <c r="H48" s="5"/>
      <c r="I48" s="5"/>
      <c r="J48" s="5"/>
      <c r="K48" s="5"/>
    </row>
    <row r="49" spans="2:11" x14ac:dyDescent="0.25">
      <c r="B49" s="1018"/>
      <c r="C49" s="1019"/>
      <c r="D49" s="1019"/>
      <c r="E49" s="1020"/>
      <c r="F49" s="5"/>
      <c r="G49" s="5"/>
      <c r="H49" s="5"/>
      <c r="I49" s="5"/>
      <c r="J49" s="5"/>
      <c r="K49" s="5"/>
    </row>
    <row r="50" spans="2:11" ht="15.75" thickBot="1" x14ac:dyDescent="0.3">
      <c r="B50" s="5"/>
      <c r="D50" s="5"/>
      <c r="E50" s="5"/>
      <c r="F50" s="5"/>
      <c r="G50" s="5"/>
      <c r="H50" s="5"/>
      <c r="I50" s="5"/>
      <c r="J50" s="5"/>
      <c r="K50" s="5"/>
    </row>
    <row r="51" spans="2:11" ht="24.75" thickBot="1" x14ac:dyDescent="0.3">
      <c r="B51" s="51" t="s">
        <v>688</v>
      </c>
      <c r="C51" s="97"/>
      <c r="D51" s="5"/>
      <c r="E51" s="5"/>
      <c r="F51" s="5"/>
      <c r="G51" s="5"/>
      <c r="H51" s="5"/>
      <c r="I51" s="5"/>
      <c r="J51" s="5"/>
      <c r="K51" s="5"/>
    </row>
    <row r="52" spans="2:11" ht="15.75" thickBot="1" x14ac:dyDescent="0.3">
      <c r="B52" s="1"/>
      <c r="C52" s="76"/>
      <c r="D52" s="5"/>
      <c r="E52" s="5"/>
      <c r="F52" s="5"/>
      <c r="G52" s="5"/>
      <c r="H52" s="5"/>
      <c r="I52" s="5"/>
      <c r="J52" s="5"/>
      <c r="K52" s="5"/>
    </row>
    <row r="53" spans="2:11" ht="60.75" thickBot="1" x14ac:dyDescent="0.3">
      <c r="B53" s="52" t="s">
        <v>689</v>
      </c>
      <c r="C53" s="98"/>
      <c r="D53" s="43" t="s">
        <v>798</v>
      </c>
      <c r="E53" s="5"/>
      <c r="F53" s="5"/>
      <c r="G53" s="5"/>
      <c r="H53" s="5"/>
      <c r="I53" s="5"/>
      <c r="J53" s="5"/>
      <c r="K53" s="5"/>
    </row>
    <row r="54" spans="2:11" x14ac:dyDescent="0.25">
      <c r="B54" s="974" t="s">
        <v>691</v>
      </c>
      <c r="C54" s="94"/>
      <c r="D54" s="53" t="s">
        <v>692</v>
      </c>
      <c r="E54" s="5"/>
      <c r="F54" s="5"/>
      <c r="G54" s="5"/>
      <c r="H54" s="5"/>
      <c r="I54" s="5"/>
      <c r="J54" s="5"/>
      <c r="K54" s="5"/>
    </row>
    <row r="55" spans="2:11" ht="60" x14ac:dyDescent="0.25">
      <c r="B55" s="975"/>
      <c r="C55" s="94"/>
      <c r="D55" s="46" t="s">
        <v>799</v>
      </c>
      <c r="E55" s="5"/>
      <c r="F55" s="5"/>
      <c r="G55" s="5"/>
      <c r="H55" s="5"/>
      <c r="I55" s="5"/>
      <c r="J55" s="5"/>
      <c r="K55" s="5"/>
    </row>
    <row r="56" spans="2:11" x14ac:dyDescent="0.25">
      <c r="B56" s="975"/>
      <c r="C56" s="94"/>
      <c r="D56" s="53" t="s">
        <v>777</v>
      </c>
      <c r="E56" s="5"/>
      <c r="F56" s="5"/>
      <c r="G56" s="5"/>
      <c r="H56" s="5"/>
      <c r="I56" s="5"/>
      <c r="J56" s="5"/>
      <c r="K56" s="5"/>
    </row>
    <row r="57" spans="2:11" x14ac:dyDescent="0.25">
      <c r="B57" s="975"/>
      <c r="C57" s="94"/>
      <c r="D57" s="46" t="s">
        <v>696</v>
      </c>
      <c r="E57" s="5"/>
      <c r="F57" s="5"/>
      <c r="G57" s="5"/>
      <c r="H57" s="5"/>
      <c r="I57" s="5"/>
      <c r="J57" s="5"/>
      <c r="K57" s="5"/>
    </row>
    <row r="58" spans="2:11" x14ac:dyDescent="0.25">
      <c r="B58" s="975"/>
      <c r="C58" s="94"/>
      <c r="D58" s="46" t="s">
        <v>800</v>
      </c>
      <c r="E58" s="5"/>
      <c r="F58" s="5"/>
      <c r="G58" s="5"/>
      <c r="H58" s="5"/>
      <c r="I58" s="5"/>
      <c r="J58" s="5"/>
      <c r="K58" s="5"/>
    </row>
    <row r="59" spans="2:11" x14ac:dyDescent="0.25">
      <c r="B59" s="975"/>
      <c r="C59" s="94"/>
      <c r="D59" s="46" t="s">
        <v>801</v>
      </c>
      <c r="E59" s="5"/>
      <c r="F59" s="5"/>
      <c r="G59" s="5"/>
      <c r="H59" s="5"/>
      <c r="I59" s="5"/>
      <c r="J59" s="5"/>
      <c r="K59" s="5"/>
    </row>
    <row r="60" spans="2:11" x14ac:dyDescent="0.25">
      <c r="B60" s="975"/>
      <c r="C60" s="94"/>
      <c r="D60" s="46" t="s">
        <v>802</v>
      </c>
      <c r="E60" s="5"/>
      <c r="F60" s="5"/>
      <c r="G60" s="5"/>
      <c r="H60" s="5"/>
      <c r="I60" s="5"/>
      <c r="J60" s="5"/>
      <c r="K60" s="5"/>
    </row>
    <row r="61" spans="2:11" x14ac:dyDescent="0.25">
      <c r="B61" s="975"/>
      <c r="C61" s="94"/>
      <c r="D61" s="46" t="s">
        <v>803</v>
      </c>
      <c r="E61" s="5"/>
      <c r="F61" s="5"/>
      <c r="G61" s="5"/>
      <c r="H61" s="5"/>
      <c r="I61" s="5"/>
      <c r="J61" s="5"/>
      <c r="K61" s="5"/>
    </row>
    <row r="62" spans="2:11" ht="15.75" thickBot="1" x14ac:dyDescent="0.3">
      <c r="B62" s="976"/>
      <c r="C62" s="2"/>
      <c r="D62" s="68"/>
      <c r="E62" s="5"/>
      <c r="F62" s="5"/>
      <c r="G62" s="5"/>
      <c r="H62" s="5"/>
      <c r="I62" s="5"/>
      <c r="J62" s="5"/>
      <c r="K62" s="5"/>
    </row>
    <row r="63" spans="2:11" ht="24.75" thickBot="1" x14ac:dyDescent="0.3">
      <c r="B63" s="47" t="s">
        <v>704</v>
      </c>
      <c r="C63" s="2"/>
      <c r="D63" s="40"/>
      <c r="E63" s="5"/>
      <c r="F63" s="5"/>
      <c r="G63" s="5"/>
      <c r="H63" s="5"/>
      <c r="I63" s="5"/>
      <c r="J63" s="5"/>
      <c r="K63" s="5"/>
    </row>
    <row r="64" spans="2:11" ht="108" x14ac:dyDescent="0.25">
      <c r="B64" s="974" t="s">
        <v>705</v>
      </c>
      <c r="C64" s="94"/>
      <c r="D64" s="46" t="s">
        <v>804</v>
      </c>
      <c r="E64" s="5"/>
      <c r="F64" s="5"/>
      <c r="G64" s="5"/>
      <c r="H64" s="5"/>
      <c r="I64" s="5"/>
      <c r="J64" s="5"/>
      <c r="K64" s="5"/>
    </row>
    <row r="65" spans="2:11" ht="96" x14ac:dyDescent="0.25">
      <c r="B65" s="975"/>
      <c r="C65" s="94"/>
      <c r="D65" s="46" t="s">
        <v>805</v>
      </c>
      <c r="E65" s="5"/>
      <c r="F65" s="5"/>
      <c r="G65" s="5"/>
      <c r="H65" s="5"/>
      <c r="I65" s="5"/>
      <c r="J65" s="5"/>
      <c r="K65" s="5"/>
    </row>
    <row r="66" spans="2:11" ht="120.75" thickBot="1" x14ac:dyDescent="0.3">
      <c r="B66" s="976"/>
      <c r="C66" s="2"/>
      <c r="D66" s="40" t="s">
        <v>806</v>
      </c>
      <c r="E66" s="5"/>
      <c r="F66" s="5"/>
      <c r="G66" s="5"/>
      <c r="H66" s="5"/>
      <c r="I66" s="5"/>
      <c r="J66" s="5"/>
      <c r="K66" s="5"/>
    </row>
    <row r="67" spans="2:11" x14ac:dyDescent="0.25">
      <c r="B67" s="974" t="s">
        <v>722</v>
      </c>
      <c r="C67" s="94"/>
      <c r="D67" s="46"/>
      <c r="E67" s="5"/>
      <c r="F67" s="5"/>
      <c r="G67" s="5"/>
      <c r="H67" s="5"/>
      <c r="I67" s="5"/>
      <c r="J67" s="5"/>
      <c r="K67" s="5"/>
    </row>
    <row r="68" spans="2:11" x14ac:dyDescent="0.25">
      <c r="B68" s="975"/>
      <c r="C68" s="94"/>
      <c r="D68" s="16"/>
      <c r="E68" s="5"/>
      <c r="F68" s="5"/>
      <c r="G68" s="5"/>
      <c r="H68" s="5"/>
      <c r="I68" s="5"/>
      <c r="J68" s="5"/>
      <c r="K68" s="5"/>
    </row>
    <row r="69" spans="2:11" x14ac:dyDescent="0.25">
      <c r="B69" s="975"/>
      <c r="C69" s="94"/>
      <c r="D69" s="46" t="s">
        <v>723</v>
      </c>
      <c r="E69" s="5"/>
      <c r="F69" s="5"/>
      <c r="G69" s="5"/>
      <c r="H69" s="5"/>
      <c r="I69" s="5"/>
      <c r="J69" s="5"/>
      <c r="K69" s="5"/>
    </row>
    <row r="70" spans="2:11" ht="37.5" x14ac:dyDescent="0.25">
      <c r="B70" s="975"/>
      <c r="C70" s="94"/>
      <c r="D70" s="46" t="s">
        <v>807</v>
      </c>
      <c r="E70" s="5"/>
      <c r="F70" s="5"/>
      <c r="G70" s="5"/>
      <c r="H70" s="5"/>
      <c r="I70" s="5"/>
      <c r="J70" s="5"/>
      <c r="K70" s="5"/>
    </row>
    <row r="71" spans="2:11" ht="37.5" x14ac:dyDescent="0.25">
      <c r="B71" s="975"/>
      <c r="C71" s="94"/>
      <c r="D71" s="46" t="s">
        <v>808</v>
      </c>
      <c r="E71" s="5"/>
      <c r="F71" s="5"/>
      <c r="G71" s="5"/>
      <c r="H71" s="5"/>
      <c r="I71" s="5"/>
      <c r="J71" s="5"/>
      <c r="K71" s="5"/>
    </row>
    <row r="72" spans="2:11" ht="37.5" x14ac:dyDescent="0.25">
      <c r="B72" s="975"/>
      <c r="C72" s="94"/>
      <c r="D72" s="46" t="s">
        <v>809</v>
      </c>
      <c r="E72" s="5"/>
      <c r="F72" s="5"/>
      <c r="G72" s="5"/>
      <c r="H72" s="5"/>
      <c r="I72" s="5"/>
      <c r="J72" s="5"/>
      <c r="K72" s="5"/>
    </row>
    <row r="73" spans="2:11" ht="48.75" thickBot="1" x14ac:dyDescent="0.3">
      <c r="B73" s="976"/>
      <c r="C73" s="2"/>
      <c r="D73" s="40" t="s">
        <v>810</v>
      </c>
      <c r="E73" s="5"/>
      <c r="F73" s="5"/>
      <c r="G73" s="5"/>
      <c r="H73" s="5"/>
      <c r="I73" s="5"/>
      <c r="J73" s="5"/>
      <c r="K73" s="5"/>
    </row>
    <row r="74" spans="2:11" x14ac:dyDescent="0.25">
      <c r="B74" s="5"/>
      <c r="D74" s="5"/>
      <c r="E74" s="5"/>
      <c r="F74" s="5"/>
      <c r="G74" s="5"/>
      <c r="H74" s="5"/>
      <c r="I74" s="5"/>
      <c r="J74" s="5"/>
      <c r="K74" s="5"/>
    </row>
    <row r="75" spans="2:11" x14ac:dyDescent="0.25">
      <c r="B75" s="5"/>
      <c r="D75" s="5"/>
      <c r="E75" s="5"/>
      <c r="F75" s="5"/>
      <c r="G75" s="5"/>
      <c r="H75" s="5"/>
      <c r="I75" s="5"/>
      <c r="J75" s="5"/>
      <c r="K75" s="5"/>
    </row>
  </sheetData>
  <mergeCells count="23">
    <mergeCell ref="B67:B73"/>
    <mergeCell ref="B15:B22"/>
    <mergeCell ref="D23:J23"/>
    <mergeCell ref="D24:J24"/>
    <mergeCell ref="B26:E26"/>
    <mergeCell ref="B64:B66"/>
    <mergeCell ref="B49:E49"/>
    <mergeCell ref="B27:B33"/>
    <mergeCell ref="B35:E35"/>
    <mergeCell ref="D15:J15"/>
    <mergeCell ref="D18:J18"/>
    <mergeCell ref="B36:B42"/>
    <mergeCell ref="B54:B62"/>
    <mergeCell ref="A1:P1"/>
    <mergeCell ref="A2:P2"/>
    <mergeCell ref="A3:P3"/>
    <mergeCell ref="A4:D4"/>
    <mergeCell ref="A5:P5"/>
    <mergeCell ref="B10:D10"/>
    <mergeCell ref="F10:S10"/>
    <mergeCell ref="F11:S11"/>
    <mergeCell ref="E12:R12"/>
    <mergeCell ref="E13:R13"/>
  </mergeCells>
  <conditionalFormatting sqref="E12:R12">
    <cfRule type="expression" dxfId="114" priority="1">
      <formula>E11="SI SE REPORTA"</formula>
    </cfRule>
  </conditionalFormatting>
  <conditionalFormatting sqref="F10">
    <cfRule type="notContainsBlanks" dxfId="113" priority="4">
      <formula>LEN(TRIM(F10))&gt;0</formula>
    </cfRule>
  </conditionalFormatting>
  <conditionalFormatting sqref="F11:S11">
    <cfRule type="expression" dxfId="112" priority="2">
      <formula>E11="NO SE REPORTA"</formula>
    </cfRule>
    <cfRule type="expression" dxfId="111" priority="3">
      <formula>E10="NO APLICA"</formula>
    </cfRule>
  </conditionalFormatting>
  <dataValidations count="3">
    <dataValidation type="list" allowBlank="1" showInputMessage="1" showErrorMessage="1" sqref="E10" xr:uid="{00000000-0002-0000-0B00-000002000000}">
      <formula1>SI</formula1>
    </dataValidation>
    <dataValidation type="list" allowBlank="1" showInputMessage="1" showErrorMessage="1" sqref="E11" xr:uid="{00000000-0002-0000-0B00-000001000000}">
      <formula1>REPORTE</formula1>
    </dataValidation>
    <dataValidation type="whole" operator="greaterThanOrEqual" allowBlank="1" showErrorMessage="1" errorTitle="ERROR" error="Escriba un número igual o mayor que 0" promptTitle="ERROR" prompt="Escriba un número igual o mayor que 0" sqref="E20:H21 E16:E17" xr:uid="{00000000-0002-0000-0B00-000000000000}">
      <formula1>0</formula1>
    </dataValidation>
  </dataValidations>
  <hyperlinks>
    <hyperlink ref="B9" location="'ANEXO 3'!A1" display="VOLVER AL INDICE" xr:uid="{FF1BC577-296A-47B0-B132-23EC4CE9DF05}"/>
  </hyperlinks>
  <pageMargins left="0.25" right="0.25" top="0.75" bottom="0.75" header="0.3" footer="0.3"/>
  <pageSetup paperSize="178" orientation="landscape" horizontalDpi="1200" verticalDpi="1200"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F5DB2-123D-4324-93F6-EC8C65B840D3}">
  <dimension ref="A1:U75"/>
  <sheetViews>
    <sheetView showGridLines="0" topLeftCell="A57" zoomScale="98" zoomScaleNormal="98" workbookViewId="0">
      <selection activeCell="L16" sqref="L16"/>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7</v>
      </c>
      <c r="B5" s="998"/>
      <c r="C5" s="998"/>
      <c r="D5" s="998"/>
      <c r="E5" s="998"/>
      <c r="F5" s="998"/>
      <c r="G5" s="998"/>
      <c r="H5" s="998"/>
      <c r="I5" s="998"/>
      <c r="J5" s="998"/>
      <c r="K5" s="998"/>
      <c r="L5" s="998"/>
      <c r="M5" s="998"/>
      <c r="N5" s="998"/>
      <c r="O5" s="998"/>
      <c r="P5" s="999"/>
    </row>
    <row r="6" spans="1:21" x14ac:dyDescent="0.25">
      <c r="B6" s="1" t="s">
        <v>626</v>
      </c>
      <c r="C6" s="76"/>
      <c r="D6" s="5"/>
      <c r="E6" s="74"/>
      <c r="F6" s="5" t="s">
        <v>627</v>
      </c>
      <c r="G6" s="5"/>
      <c r="H6" s="5"/>
      <c r="I6" s="5"/>
      <c r="J6" s="5"/>
      <c r="K6" s="5"/>
    </row>
    <row r="7" spans="1:21" ht="15.75" thickBot="1" x14ac:dyDescent="0.3">
      <c r="B7" s="75"/>
      <c r="C7" s="77"/>
      <c r="D7" s="5"/>
      <c r="E7" s="17"/>
      <c r="F7" s="5" t="s">
        <v>628</v>
      </c>
      <c r="G7" s="5"/>
      <c r="H7" s="5"/>
      <c r="I7" s="5"/>
      <c r="J7" s="5"/>
      <c r="K7" s="5"/>
    </row>
    <row r="8" spans="1:21" ht="15.75" thickBot="1" x14ac:dyDescent="0.3">
      <c r="B8" s="171" t="s">
        <v>629</v>
      </c>
      <c r="C8" s="211">
        <v>2024</v>
      </c>
      <c r="D8" s="216">
        <f>IF(E10="NO APLICA","NO APLICA",IF(E11="NO SE REPORTA","SIN INFORMACION",+E23))</f>
        <v>0</v>
      </c>
      <c r="E8" s="212"/>
      <c r="F8" s="5" t="s">
        <v>630</v>
      </c>
      <c r="G8" s="5"/>
      <c r="H8" s="5"/>
      <c r="I8" s="5"/>
      <c r="J8" s="5"/>
      <c r="K8" s="5"/>
    </row>
    <row r="9" spans="1:21" x14ac:dyDescent="0.25">
      <c r="B9" s="358" t="s">
        <v>631</v>
      </c>
      <c r="C9" s="88"/>
      <c r="D9" s="5"/>
      <c r="E9" s="5"/>
      <c r="F9" s="5"/>
      <c r="G9" s="5"/>
      <c r="H9" s="5"/>
      <c r="I9" s="5"/>
      <c r="J9" s="5"/>
      <c r="K9" s="5"/>
    </row>
    <row r="10" spans="1:21" x14ac:dyDescent="0.25">
      <c r="B10" s="1008" t="s">
        <v>632</v>
      </c>
      <c r="C10" s="1008"/>
      <c r="D10" s="1008"/>
      <c r="E10" s="361" t="s">
        <v>633</v>
      </c>
      <c r="F10" s="99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96"/>
      <c r="H10" s="996"/>
      <c r="I10" s="996"/>
      <c r="J10" s="996"/>
      <c r="K10" s="996"/>
      <c r="L10" s="996"/>
      <c r="M10" s="996"/>
      <c r="N10" s="996"/>
      <c r="O10" s="996"/>
      <c r="P10" s="996"/>
      <c r="Q10" s="996"/>
      <c r="R10" s="996"/>
      <c r="S10" s="996"/>
      <c r="T10" s="5"/>
      <c r="U10" s="5"/>
    </row>
    <row r="11" spans="1:21" ht="14.45" customHeight="1" x14ac:dyDescent="0.25">
      <c r="B11" s="360"/>
      <c r="C11" s="88"/>
      <c r="D11" s="171" t="str">
        <f>IF(E10="SI APLICA","¿El indicador no se reporta por limitaciones de información disponible? ","")</f>
        <v xml:space="preserve">¿El indicador no se reporta por limitaciones de información disponible? </v>
      </c>
      <c r="E11" s="362" t="s">
        <v>634</v>
      </c>
      <c r="F11" s="1009"/>
      <c r="G11" s="1010"/>
      <c r="H11" s="1010"/>
      <c r="I11" s="1010"/>
      <c r="J11" s="1010"/>
      <c r="K11" s="1010"/>
      <c r="L11" s="1010"/>
      <c r="M11" s="1010"/>
      <c r="N11" s="1010"/>
      <c r="O11" s="1010"/>
      <c r="P11" s="1010"/>
      <c r="Q11" s="1010"/>
      <c r="R11" s="1010"/>
      <c r="S11" s="1010"/>
    </row>
    <row r="12" spans="1:21" ht="33" customHeight="1" x14ac:dyDescent="0.25">
      <c r="B12" s="358"/>
      <c r="C12" s="88"/>
      <c r="D12" s="171" t="str">
        <f>IF(E11="SI SE REPORTA","¿Qué programas o proyectos del Plan de Acción están asociados al indicador? ","")</f>
        <v xml:space="preserve">¿Qué programas o proyectos del Plan de Acción están asociados al indicador? </v>
      </c>
      <c r="E12" s="1011" t="s">
        <v>2269</v>
      </c>
      <c r="F12" s="1011"/>
      <c r="G12" s="1011"/>
      <c r="H12" s="1011"/>
      <c r="I12" s="1011"/>
      <c r="J12" s="1011"/>
      <c r="K12" s="1011"/>
      <c r="L12" s="1011"/>
      <c r="M12" s="1011"/>
      <c r="N12" s="1011"/>
      <c r="O12" s="1011"/>
      <c r="P12" s="1011"/>
      <c r="Q12" s="1011"/>
      <c r="R12" s="1011"/>
    </row>
    <row r="13" spans="1:21" ht="21.95" customHeight="1" x14ac:dyDescent="0.25">
      <c r="B13" s="358"/>
      <c r="C13" s="88"/>
      <c r="D13" s="171" t="s">
        <v>635</v>
      </c>
      <c r="E13" s="1012"/>
      <c r="F13" s="1013"/>
      <c r="G13" s="1013"/>
      <c r="H13" s="1013"/>
      <c r="I13" s="1013"/>
      <c r="J13" s="1013"/>
      <c r="K13" s="1013"/>
      <c r="L13" s="1013"/>
      <c r="M13" s="1013"/>
      <c r="N13" s="1013"/>
      <c r="O13" s="1013"/>
      <c r="P13" s="1013"/>
      <c r="Q13" s="1013"/>
      <c r="R13" s="1014"/>
    </row>
    <row r="14" spans="1:21" ht="6.95" customHeight="1" thickBot="1" x14ac:dyDescent="0.3">
      <c r="B14" s="358"/>
      <c r="C14" s="88"/>
      <c r="D14" s="5"/>
      <c r="E14" s="5"/>
      <c r="F14" s="5"/>
      <c r="G14" s="5"/>
      <c r="H14" s="5"/>
      <c r="I14" s="5"/>
      <c r="J14" s="5"/>
      <c r="K14" s="5"/>
    </row>
    <row r="15" spans="1:21" ht="15.75" thickBot="1" x14ac:dyDescent="0.3">
      <c r="B15" s="974" t="s">
        <v>636</v>
      </c>
      <c r="C15" s="89"/>
      <c r="D15" s="956" t="s">
        <v>637</v>
      </c>
      <c r="E15" s="957"/>
      <c r="F15" s="957"/>
      <c r="G15" s="957"/>
      <c r="H15" s="957"/>
      <c r="I15" s="957"/>
      <c r="J15" s="958"/>
      <c r="K15" s="5"/>
    </row>
    <row r="16" spans="1:21" ht="24.75" thickBot="1" x14ac:dyDescent="0.3">
      <c r="B16" s="975"/>
      <c r="C16" s="94"/>
      <c r="D16" s="43" t="s">
        <v>811</v>
      </c>
      <c r="E16" s="206"/>
      <c r="F16" s="5"/>
      <c r="G16" s="5"/>
      <c r="H16" s="5"/>
      <c r="I16" s="5"/>
      <c r="J16" s="21"/>
      <c r="K16" s="5"/>
    </row>
    <row r="17" spans="2:11" ht="40.5" customHeight="1" thickBot="1" x14ac:dyDescent="0.3">
      <c r="B17" s="975"/>
      <c r="C17" s="94"/>
      <c r="D17" s="40" t="s">
        <v>812</v>
      </c>
      <c r="E17" s="206"/>
      <c r="F17" s="5"/>
      <c r="G17" s="5"/>
      <c r="H17" s="5"/>
      <c r="I17" s="5"/>
      <c r="J17" s="21"/>
      <c r="K17" s="5"/>
    </row>
    <row r="18" spans="2:11" ht="36.75" thickBot="1" x14ac:dyDescent="0.3">
      <c r="B18" s="975"/>
      <c r="C18" s="94"/>
      <c r="D18" s="40" t="s">
        <v>813</v>
      </c>
      <c r="E18" s="206">
        <v>4</v>
      </c>
      <c r="F18" s="5"/>
      <c r="G18" s="5"/>
      <c r="H18" s="5"/>
      <c r="I18" s="5"/>
      <c r="J18" s="21"/>
      <c r="K18" s="5"/>
    </row>
    <row r="19" spans="2:11" ht="15.75" thickBot="1" x14ac:dyDescent="0.3">
      <c r="B19" s="975"/>
      <c r="C19" s="92"/>
      <c r="D19" s="986"/>
      <c r="E19" s="987"/>
      <c r="F19" s="987"/>
      <c r="G19" s="987"/>
      <c r="H19" s="987"/>
      <c r="I19" s="987"/>
      <c r="J19" s="988"/>
      <c r="K19" s="5"/>
    </row>
    <row r="20" spans="2:11" ht="15.75" thickBot="1" x14ac:dyDescent="0.3">
      <c r="B20" s="975"/>
      <c r="C20" s="98" t="s">
        <v>585</v>
      </c>
      <c r="D20" s="43" t="s">
        <v>763</v>
      </c>
      <c r="E20" s="38" t="s">
        <v>587</v>
      </c>
      <c r="F20" s="38" t="s">
        <v>588</v>
      </c>
      <c r="G20" s="38" t="s">
        <v>589</v>
      </c>
      <c r="H20" s="38" t="s">
        <v>590</v>
      </c>
      <c r="I20" s="38" t="s">
        <v>764</v>
      </c>
      <c r="J20" s="111"/>
      <c r="K20" s="5"/>
    </row>
    <row r="21" spans="2:11" ht="36.75" thickBot="1" x14ac:dyDescent="0.3">
      <c r="B21" s="975"/>
      <c r="C21" s="2" t="s">
        <v>765</v>
      </c>
      <c r="D21" s="40" t="s">
        <v>814</v>
      </c>
      <c r="E21" s="206">
        <v>1</v>
      </c>
      <c r="F21" s="206">
        <v>1</v>
      </c>
      <c r="G21" s="206">
        <v>1</v>
      </c>
      <c r="H21" s="206">
        <v>1</v>
      </c>
      <c r="I21" s="42">
        <f>SUM(E21:H21)</f>
        <v>4</v>
      </c>
      <c r="J21" s="112"/>
      <c r="K21" s="5"/>
    </row>
    <row r="22" spans="2:11" ht="36.75" thickBot="1" x14ac:dyDescent="0.3">
      <c r="B22" s="975"/>
      <c r="C22" s="2" t="s">
        <v>767</v>
      </c>
      <c r="D22" s="40" t="s">
        <v>815</v>
      </c>
      <c r="E22" s="206"/>
      <c r="F22" s="206"/>
      <c r="G22" s="206"/>
      <c r="H22" s="206"/>
      <c r="I22" s="42">
        <f>SUM(E22:H22)</f>
        <v>0</v>
      </c>
      <c r="J22" s="112"/>
      <c r="K22" s="5"/>
    </row>
    <row r="23" spans="2:11" ht="36.75" thickBot="1" x14ac:dyDescent="0.3">
      <c r="B23" s="976"/>
      <c r="C23" s="2" t="s">
        <v>769</v>
      </c>
      <c r="D23" s="40" t="s">
        <v>816</v>
      </c>
      <c r="E23" s="185">
        <f>IFERROR(E22/E21,"N.A.")</f>
        <v>0</v>
      </c>
      <c r="F23" s="185">
        <f>IFERROR(F22/F21,"N.A.")</f>
        <v>0</v>
      </c>
      <c r="G23" s="185">
        <f>IFERROR(G22/G21,"N.A.")</f>
        <v>0</v>
      </c>
      <c r="H23" s="185">
        <f>IFERROR(H22/H21,"N.A.")</f>
        <v>0</v>
      </c>
      <c r="I23" s="185">
        <f>IFERROR(I22/I21,"N.A.")</f>
        <v>0</v>
      </c>
      <c r="J23" s="113"/>
      <c r="K23" s="5"/>
    </row>
    <row r="24" spans="2:11" ht="24" customHeight="1" thickBot="1" x14ac:dyDescent="0.3">
      <c r="B24" s="47" t="s">
        <v>671</v>
      </c>
      <c r="C24" s="93"/>
      <c r="D24" s="983" t="s">
        <v>817</v>
      </c>
      <c r="E24" s="984"/>
      <c r="F24" s="984"/>
      <c r="G24" s="984"/>
      <c r="H24" s="984"/>
      <c r="I24" s="984"/>
      <c r="J24" s="985"/>
      <c r="K24" s="5"/>
    </row>
    <row r="25" spans="2:11" ht="24.75" thickBot="1" x14ac:dyDescent="0.3">
      <c r="B25" s="47" t="s">
        <v>673</v>
      </c>
      <c r="C25" s="93"/>
      <c r="D25" s="983" t="s">
        <v>772</v>
      </c>
      <c r="E25" s="984"/>
      <c r="F25" s="984"/>
      <c r="G25" s="984"/>
      <c r="H25" s="984"/>
      <c r="I25" s="984"/>
      <c r="J25" s="985"/>
      <c r="K25" s="5"/>
    </row>
    <row r="26" spans="2:11" ht="15.75" thickBot="1" x14ac:dyDescent="0.3">
      <c r="B26" s="1"/>
      <c r="C26" s="76"/>
      <c r="D26" s="5"/>
      <c r="E26" s="5"/>
      <c r="F26" s="5"/>
      <c r="G26" s="5"/>
      <c r="H26" s="5"/>
      <c r="I26" s="5"/>
      <c r="J26" s="5"/>
      <c r="K26" s="5"/>
    </row>
    <row r="27" spans="2:11" ht="15" customHeight="1" thickBot="1" x14ac:dyDescent="0.3">
      <c r="B27" s="119" t="s">
        <v>675</v>
      </c>
      <c r="C27" s="120"/>
      <c r="D27" s="120"/>
      <c r="E27" s="120"/>
      <c r="F27" s="121"/>
      <c r="G27" s="5"/>
      <c r="H27" s="5"/>
      <c r="I27" s="5"/>
      <c r="J27" s="5"/>
      <c r="K27" s="5"/>
    </row>
    <row r="28" spans="2:11" ht="48.75" thickBot="1" x14ac:dyDescent="0.3">
      <c r="B28" s="974">
        <v>1</v>
      </c>
      <c r="C28" s="94"/>
      <c r="D28" s="48" t="s">
        <v>676</v>
      </c>
      <c r="E28" s="337" t="s">
        <v>2301</v>
      </c>
      <c r="F28" s="59"/>
      <c r="G28" s="5"/>
      <c r="H28" s="5"/>
      <c r="I28" s="5"/>
      <c r="J28" s="5"/>
      <c r="K28" s="5"/>
    </row>
    <row r="29" spans="2:11" ht="36.75" thickBot="1" x14ac:dyDescent="0.3">
      <c r="B29" s="975"/>
      <c r="C29" s="94"/>
      <c r="D29" s="40" t="s">
        <v>525</v>
      </c>
      <c r="E29" s="337" t="s">
        <v>2302</v>
      </c>
      <c r="F29" s="59"/>
      <c r="G29" s="5"/>
      <c r="H29" s="5"/>
      <c r="I29" s="5"/>
      <c r="J29" s="5"/>
      <c r="K29" s="5"/>
    </row>
    <row r="30" spans="2:11" ht="36.75" thickBot="1" x14ac:dyDescent="0.3">
      <c r="B30" s="975"/>
      <c r="C30" s="94"/>
      <c r="D30" s="40" t="s">
        <v>677</v>
      </c>
      <c r="E30" s="337" t="s">
        <v>2303</v>
      </c>
      <c r="F30" s="59"/>
      <c r="G30" s="5"/>
      <c r="H30" s="5"/>
      <c r="I30" s="5"/>
      <c r="J30" s="5"/>
      <c r="K30" s="5"/>
    </row>
    <row r="31" spans="2:11" ht="15.75" thickBot="1" x14ac:dyDescent="0.3">
      <c r="B31" s="975"/>
      <c r="C31" s="94"/>
      <c r="D31" s="40" t="s">
        <v>527</v>
      </c>
      <c r="E31" s="337" t="s">
        <v>2304</v>
      </c>
      <c r="F31" s="59"/>
      <c r="G31" s="5"/>
      <c r="H31" s="5"/>
      <c r="I31" s="5"/>
      <c r="J31" s="5"/>
      <c r="K31" s="5"/>
    </row>
    <row r="32" spans="2:11" ht="48.75" thickBot="1" x14ac:dyDescent="0.3">
      <c r="B32" s="975"/>
      <c r="C32" s="94"/>
      <c r="D32" s="40" t="s">
        <v>529</v>
      </c>
      <c r="E32" s="337" t="s">
        <v>2305</v>
      </c>
      <c r="F32" s="59"/>
      <c r="G32" s="5"/>
      <c r="H32" s="5"/>
      <c r="I32" s="5"/>
      <c r="J32" s="5"/>
      <c r="K32" s="5"/>
    </row>
    <row r="33" spans="2:11" ht="15.75" thickBot="1" x14ac:dyDescent="0.3">
      <c r="B33" s="975"/>
      <c r="C33" s="94"/>
      <c r="D33" s="40" t="s">
        <v>531</v>
      </c>
      <c r="E33" s="337">
        <v>5748960</v>
      </c>
      <c r="F33" s="59"/>
      <c r="G33" s="5"/>
      <c r="H33" s="5"/>
      <c r="I33" s="5"/>
      <c r="J33" s="5"/>
      <c r="K33" s="5"/>
    </row>
    <row r="34" spans="2:11" ht="36.75" thickBot="1" x14ac:dyDescent="0.3">
      <c r="B34" s="976"/>
      <c r="C34" s="2"/>
      <c r="D34" s="40" t="s">
        <v>678</v>
      </c>
      <c r="E34" s="337" t="s">
        <v>2306</v>
      </c>
      <c r="F34" s="59"/>
      <c r="G34" s="5"/>
      <c r="H34" s="5"/>
      <c r="I34" s="5"/>
      <c r="J34" s="5"/>
      <c r="K34" s="5"/>
    </row>
    <row r="35" spans="2:11" ht="15.75" thickBot="1" x14ac:dyDescent="0.3">
      <c r="B35" s="1"/>
      <c r="C35" s="76"/>
      <c r="D35" s="5"/>
      <c r="E35" s="5"/>
      <c r="F35" s="5"/>
      <c r="G35" s="5"/>
      <c r="H35" s="5"/>
      <c r="I35" s="5"/>
      <c r="J35" s="5"/>
      <c r="K35" s="5"/>
    </row>
    <row r="36" spans="2:11" ht="15" customHeight="1" thickBot="1" x14ac:dyDescent="0.3">
      <c r="B36" s="119" t="s">
        <v>679</v>
      </c>
      <c r="C36" s="120"/>
      <c r="D36" s="120"/>
      <c r="E36" s="120"/>
      <c r="F36" s="121"/>
      <c r="G36" s="5"/>
      <c r="H36" s="5"/>
      <c r="I36" s="5"/>
      <c r="J36" s="5"/>
      <c r="K36" s="5"/>
    </row>
    <row r="37" spans="2:11" ht="60.75" thickBot="1" x14ac:dyDescent="0.3">
      <c r="B37" s="974">
        <v>1</v>
      </c>
      <c r="C37" s="94"/>
      <c r="D37" s="48" t="s">
        <v>676</v>
      </c>
      <c r="E37" s="774" t="s">
        <v>680</v>
      </c>
      <c r="F37" s="59"/>
      <c r="G37" s="5"/>
      <c r="H37" s="5"/>
      <c r="I37" s="5"/>
      <c r="J37" s="5"/>
      <c r="K37" s="5"/>
    </row>
    <row r="38" spans="2:11" ht="84.75" thickBot="1" x14ac:dyDescent="0.3">
      <c r="B38" s="975"/>
      <c r="C38" s="94"/>
      <c r="D38" s="40" t="s">
        <v>525</v>
      </c>
      <c r="E38" s="774" t="s">
        <v>773</v>
      </c>
      <c r="F38" s="59"/>
      <c r="G38" s="5"/>
      <c r="H38" s="5"/>
      <c r="I38" s="5"/>
      <c r="J38" s="5"/>
      <c r="K38" s="5"/>
    </row>
    <row r="39" spans="2:11" ht="15.75" thickBot="1" x14ac:dyDescent="0.3">
      <c r="B39" s="975"/>
      <c r="C39" s="94"/>
      <c r="D39" s="40" t="s">
        <v>677</v>
      </c>
      <c r="E39" s="239"/>
      <c r="F39" s="59"/>
      <c r="G39" s="5"/>
      <c r="H39" s="5"/>
      <c r="I39" s="5"/>
      <c r="J39" s="5"/>
      <c r="K39" s="5"/>
    </row>
    <row r="40" spans="2:11" ht="15.75" thickBot="1" x14ac:dyDescent="0.3">
      <c r="B40" s="975"/>
      <c r="C40" s="94"/>
      <c r="D40" s="40" t="s">
        <v>527</v>
      </c>
      <c r="E40" s="239"/>
      <c r="F40" s="59"/>
      <c r="G40" s="5"/>
      <c r="H40" s="5"/>
      <c r="I40" s="5"/>
      <c r="J40" s="5"/>
      <c r="K40" s="5"/>
    </row>
    <row r="41" spans="2:11" ht="15.75" thickBot="1" x14ac:dyDescent="0.3">
      <c r="B41" s="975"/>
      <c r="C41" s="94"/>
      <c r="D41" s="40" t="s">
        <v>529</v>
      </c>
      <c r="E41" s="239"/>
      <c r="F41" s="59"/>
      <c r="G41" s="5"/>
      <c r="H41" s="5"/>
      <c r="I41" s="5"/>
      <c r="J41" s="5"/>
      <c r="K41" s="5"/>
    </row>
    <row r="42" spans="2:11" ht="15.75" thickBot="1" x14ac:dyDescent="0.3">
      <c r="B42" s="975"/>
      <c r="C42" s="94"/>
      <c r="D42" s="40" t="s">
        <v>531</v>
      </c>
      <c r="E42" s="239"/>
      <c r="F42" s="59"/>
      <c r="G42" s="5"/>
      <c r="H42" s="5"/>
      <c r="I42" s="5"/>
      <c r="J42" s="5"/>
      <c r="K42" s="5"/>
    </row>
    <row r="43" spans="2:11" ht="15.75" thickBot="1" x14ac:dyDescent="0.3">
      <c r="B43" s="976"/>
      <c r="C43" s="2"/>
      <c r="D43" s="40" t="s">
        <v>678</v>
      </c>
      <c r="E43" s="239"/>
      <c r="F43" s="59"/>
      <c r="G43" s="5"/>
      <c r="H43" s="5"/>
      <c r="I43" s="5"/>
      <c r="J43" s="5"/>
      <c r="K43" s="5"/>
    </row>
    <row r="44" spans="2:11" ht="15.75" thickBot="1" x14ac:dyDescent="0.3">
      <c r="B44" s="1"/>
      <c r="C44" s="76"/>
      <c r="D44" s="5"/>
      <c r="E44" s="5"/>
      <c r="F44" s="5"/>
      <c r="G44" s="5"/>
      <c r="H44" s="5"/>
      <c r="I44" s="5"/>
      <c r="J44" s="5"/>
      <c r="K44" s="5"/>
    </row>
    <row r="45" spans="2:11" ht="15" customHeight="1" thickBot="1" x14ac:dyDescent="0.3">
      <c r="B45" s="119" t="s">
        <v>682</v>
      </c>
      <c r="C45" s="120"/>
      <c r="D45" s="120"/>
      <c r="E45" s="121"/>
      <c r="G45" s="5"/>
      <c r="H45" s="5"/>
      <c r="I45" s="5"/>
      <c r="J45" s="5"/>
      <c r="K45" s="5"/>
    </row>
    <row r="46" spans="2:11" ht="24.75" thickBot="1" x14ac:dyDescent="0.3">
      <c r="B46" s="47" t="s">
        <v>683</v>
      </c>
      <c r="C46" s="40" t="s">
        <v>684</v>
      </c>
      <c r="D46" s="40" t="s">
        <v>685</v>
      </c>
      <c r="E46" s="40" t="s">
        <v>686</v>
      </c>
      <c r="F46" s="5"/>
      <c r="G46" s="5"/>
      <c r="H46" s="5"/>
      <c r="I46" s="5"/>
      <c r="J46" s="5"/>
    </row>
    <row r="47" spans="2:11" ht="72.75" thickBot="1" x14ac:dyDescent="0.3">
      <c r="B47" s="49">
        <v>42401</v>
      </c>
      <c r="C47" s="40">
        <v>0.01</v>
      </c>
      <c r="D47" s="68" t="s">
        <v>818</v>
      </c>
      <c r="E47" s="40"/>
      <c r="F47" s="5"/>
      <c r="G47" s="5"/>
      <c r="H47" s="5"/>
      <c r="I47" s="5"/>
      <c r="J47" s="5"/>
    </row>
    <row r="48" spans="2:11" ht="15.75" thickBot="1" x14ac:dyDescent="0.3">
      <c r="B48" s="3"/>
      <c r="C48" s="95"/>
      <c r="D48" s="5"/>
      <c r="E48" s="5"/>
      <c r="F48" s="5"/>
      <c r="G48" s="5"/>
      <c r="H48" s="5"/>
      <c r="I48" s="5"/>
      <c r="J48" s="5"/>
      <c r="K48" s="5"/>
    </row>
    <row r="49" spans="2:11" x14ac:dyDescent="0.25">
      <c r="B49" s="129" t="s">
        <v>593</v>
      </c>
      <c r="C49" s="96"/>
      <c r="D49" s="5"/>
      <c r="E49" s="5"/>
      <c r="F49" s="5"/>
      <c r="G49" s="5"/>
      <c r="H49" s="5"/>
      <c r="I49" s="5"/>
      <c r="J49" s="5"/>
      <c r="K49" s="5"/>
    </row>
    <row r="50" spans="2:11" x14ac:dyDescent="0.25">
      <c r="B50" s="1021"/>
      <c r="C50" s="1022"/>
      <c r="D50" s="1022"/>
      <c r="E50" s="1023"/>
      <c r="F50" s="5"/>
      <c r="G50" s="5"/>
      <c r="H50" s="5"/>
      <c r="I50" s="5"/>
      <c r="J50" s="5"/>
      <c r="K50" s="5"/>
    </row>
    <row r="51" spans="2:11" x14ac:dyDescent="0.25">
      <c r="B51" s="1024"/>
      <c r="C51" s="1025"/>
      <c r="D51" s="1025"/>
      <c r="E51" s="1026"/>
      <c r="F51" s="5"/>
      <c r="G51" s="5"/>
      <c r="H51" s="5"/>
      <c r="I51" s="5"/>
      <c r="J51" s="5"/>
      <c r="K51" s="5"/>
    </row>
    <row r="52" spans="2:11" ht="15.75" thickBot="1" x14ac:dyDescent="0.3">
      <c r="B52" s="5"/>
      <c r="D52" s="5"/>
      <c r="E52" s="5"/>
      <c r="F52" s="5"/>
      <c r="G52" s="5"/>
      <c r="H52" s="5"/>
      <c r="I52" s="5"/>
      <c r="J52" s="5"/>
      <c r="K52" s="5"/>
    </row>
    <row r="53" spans="2:11" ht="24.75" thickBot="1" x14ac:dyDescent="0.3">
      <c r="B53" s="51" t="s">
        <v>688</v>
      </c>
      <c r="C53" s="97"/>
      <c r="D53" s="5"/>
      <c r="E53" s="5"/>
      <c r="F53" s="5"/>
      <c r="G53" s="5"/>
      <c r="H53" s="5"/>
      <c r="I53" s="5"/>
      <c r="J53" s="5"/>
      <c r="K53" s="5"/>
    </row>
    <row r="54" spans="2:11" ht="15.75" thickBot="1" x14ac:dyDescent="0.3">
      <c r="B54" s="1"/>
      <c r="C54" s="76"/>
      <c r="D54" s="5"/>
      <c r="E54" s="5"/>
      <c r="F54" s="5"/>
      <c r="G54" s="5"/>
      <c r="H54" s="5"/>
      <c r="I54" s="5"/>
      <c r="J54" s="5"/>
      <c r="K54" s="5"/>
    </row>
    <row r="55" spans="2:11" ht="60.75" thickBot="1" x14ac:dyDescent="0.3">
      <c r="B55" s="52" t="s">
        <v>689</v>
      </c>
      <c r="C55" s="98"/>
      <c r="D55" s="43" t="s">
        <v>819</v>
      </c>
      <c r="E55" s="5"/>
      <c r="F55" s="5"/>
      <c r="G55" s="5"/>
      <c r="H55" s="5"/>
      <c r="I55" s="5"/>
      <c r="J55" s="5"/>
      <c r="K55" s="5"/>
    </row>
    <row r="56" spans="2:11" x14ac:dyDescent="0.25">
      <c r="B56" s="974" t="s">
        <v>691</v>
      </c>
      <c r="C56" s="94"/>
      <c r="D56" s="53" t="s">
        <v>692</v>
      </c>
      <c r="E56" s="5"/>
      <c r="F56" s="5"/>
      <c r="G56" s="5"/>
      <c r="H56" s="5"/>
      <c r="I56" s="5"/>
      <c r="J56" s="5"/>
      <c r="K56" s="5"/>
    </row>
    <row r="57" spans="2:11" ht="60" x14ac:dyDescent="0.25">
      <c r="B57" s="975"/>
      <c r="C57" s="94"/>
      <c r="D57" s="46" t="s">
        <v>820</v>
      </c>
      <c r="E57" s="5"/>
      <c r="F57" s="5"/>
      <c r="G57" s="5"/>
      <c r="H57" s="5"/>
      <c r="I57" s="5"/>
      <c r="J57" s="5"/>
      <c r="K57" s="5"/>
    </row>
    <row r="58" spans="2:11" x14ac:dyDescent="0.25">
      <c r="B58" s="975"/>
      <c r="C58" s="94"/>
      <c r="D58" s="53" t="s">
        <v>777</v>
      </c>
      <c r="E58" s="5"/>
      <c r="F58" s="5"/>
      <c r="G58" s="5"/>
      <c r="H58" s="5"/>
      <c r="I58" s="5"/>
      <c r="J58" s="5"/>
      <c r="K58" s="5"/>
    </row>
    <row r="59" spans="2:11" ht="24" x14ac:dyDescent="0.25">
      <c r="B59" s="975"/>
      <c r="C59" s="94"/>
      <c r="D59" s="46" t="s">
        <v>779</v>
      </c>
      <c r="E59" s="5"/>
      <c r="F59" s="5"/>
      <c r="G59" s="5"/>
      <c r="H59" s="5"/>
      <c r="I59" s="5"/>
      <c r="J59" s="5"/>
      <c r="K59" s="5"/>
    </row>
    <row r="60" spans="2:11" x14ac:dyDescent="0.25">
      <c r="B60" s="975"/>
      <c r="C60" s="94"/>
      <c r="D60" s="46" t="s">
        <v>800</v>
      </c>
      <c r="E60" s="5"/>
      <c r="F60" s="5"/>
      <c r="G60" s="5"/>
      <c r="H60" s="5"/>
      <c r="I60" s="5"/>
      <c r="J60" s="5"/>
      <c r="K60" s="5"/>
    </row>
    <row r="61" spans="2:11" ht="36" x14ac:dyDescent="0.25">
      <c r="B61" s="975"/>
      <c r="C61" s="94"/>
      <c r="D61" s="46" t="s">
        <v>783</v>
      </c>
      <c r="E61" s="5"/>
      <c r="F61" s="5"/>
      <c r="G61" s="5"/>
      <c r="H61" s="5"/>
      <c r="I61" s="5"/>
      <c r="J61" s="5"/>
      <c r="K61" s="5"/>
    </row>
    <row r="62" spans="2:11" x14ac:dyDescent="0.25">
      <c r="B62" s="975"/>
      <c r="C62" s="94"/>
      <c r="D62" s="53" t="s">
        <v>784</v>
      </c>
      <c r="E62" s="5"/>
      <c r="F62" s="5"/>
      <c r="G62" s="5"/>
      <c r="H62" s="5"/>
      <c r="I62" s="5"/>
      <c r="J62" s="5"/>
      <c r="K62" s="5"/>
    </row>
    <row r="63" spans="2:11" ht="24.75" thickBot="1" x14ac:dyDescent="0.3">
      <c r="B63" s="976"/>
      <c r="C63" s="2"/>
      <c r="D63" s="40" t="s">
        <v>785</v>
      </c>
      <c r="E63" s="5"/>
      <c r="F63" s="5"/>
      <c r="G63" s="5"/>
      <c r="H63" s="5"/>
      <c r="I63" s="5"/>
      <c r="J63" s="5"/>
      <c r="K63" s="5"/>
    </row>
    <row r="64" spans="2:11" ht="24.75" thickBot="1" x14ac:dyDescent="0.3">
      <c r="B64" s="47" t="s">
        <v>704</v>
      </c>
      <c r="C64" s="2"/>
      <c r="D64" s="40"/>
      <c r="E64" s="5"/>
      <c r="F64" s="5"/>
      <c r="G64" s="5"/>
      <c r="H64" s="5"/>
      <c r="I64" s="5"/>
      <c r="J64" s="5"/>
      <c r="K64" s="5"/>
    </row>
    <row r="65" spans="2:11" ht="108" x14ac:dyDescent="0.25">
      <c r="B65" s="974" t="s">
        <v>705</v>
      </c>
      <c r="C65" s="94"/>
      <c r="D65" s="46" t="s">
        <v>821</v>
      </c>
      <c r="E65" s="5"/>
      <c r="F65" s="5"/>
      <c r="G65" s="5"/>
      <c r="H65" s="5"/>
      <c r="I65" s="5"/>
      <c r="J65" s="5"/>
      <c r="K65" s="5"/>
    </row>
    <row r="66" spans="2:11" ht="240" x14ac:dyDescent="0.25">
      <c r="B66" s="975"/>
      <c r="C66" s="94"/>
      <c r="D66" s="46" t="s">
        <v>822</v>
      </c>
      <c r="E66" s="5"/>
      <c r="F66" s="5"/>
      <c r="G66" s="5"/>
      <c r="H66" s="5"/>
      <c r="I66" s="5"/>
      <c r="J66" s="5"/>
      <c r="K66" s="5"/>
    </row>
    <row r="67" spans="2:11" ht="48.75" thickBot="1" x14ac:dyDescent="0.3">
      <c r="B67" s="976"/>
      <c r="C67" s="2"/>
      <c r="D67" s="40" t="s">
        <v>823</v>
      </c>
      <c r="E67" s="5"/>
      <c r="F67" s="5"/>
      <c r="G67" s="5"/>
      <c r="H67" s="5"/>
      <c r="I67" s="5"/>
      <c r="J67" s="5"/>
      <c r="K67" s="5"/>
    </row>
    <row r="68" spans="2:11" x14ac:dyDescent="0.25">
      <c r="B68" s="974" t="s">
        <v>722</v>
      </c>
      <c r="C68" s="94"/>
      <c r="D68" s="46"/>
      <c r="E68" s="5"/>
      <c r="F68" s="5"/>
      <c r="G68" s="5"/>
      <c r="H68" s="5"/>
      <c r="I68" s="5"/>
      <c r="J68" s="5"/>
      <c r="K68" s="5"/>
    </row>
    <row r="69" spans="2:11" x14ac:dyDescent="0.25">
      <c r="B69" s="975"/>
      <c r="C69" s="94"/>
      <c r="D69" s="16"/>
      <c r="E69" s="5"/>
      <c r="F69" s="5"/>
      <c r="G69" s="5"/>
      <c r="H69" s="5"/>
      <c r="I69" s="5"/>
      <c r="J69" s="5"/>
      <c r="K69" s="5"/>
    </row>
    <row r="70" spans="2:11" x14ac:dyDescent="0.25">
      <c r="B70" s="975"/>
      <c r="C70" s="94"/>
      <c r="D70" s="46" t="s">
        <v>723</v>
      </c>
      <c r="E70" s="5"/>
      <c r="F70" s="5"/>
      <c r="G70" s="5"/>
      <c r="H70" s="5"/>
      <c r="I70" s="5"/>
      <c r="J70" s="5"/>
      <c r="K70" s="5"/>
    </row>
    <row r="71" spans="2:11" ht="37.5" x14ac:dyDescent="0.25">
      <c r="B71" s="975"/>
      <c r="C71" s="94"/>
      <c r="D71" s="46" t="s">
        <v>824</v>
      </c>
      <c r="E71" s="5"/>
      <c r="F71" s="5"/>
      <c r="G71" s="5"/>
      <c r="H71" s="5"/>
      <c r="I71" s="5"/>
      <c r="J71" s="5"/>
      <c r="K71" s="5"/>
    </row>
    <row r="72" spans="2:11" ht="37.5" x14ac:dyDescent="0.25">
      <c r="B72" s="975"/>
      <c r="C72" s="94"/>
      <c r="D72" s="46" t="s">
        <v>825</v>
      </c>
      <c r="E72" s="5"/>
      <c r="F72" s="5"/>
      <c r="G72" s="5"/>
      <c r="H72" s="5"/>
      <c r="I72" s="5"/>
      <c r="J72" s="5"/>
      <c r="K72" s="5"/>
    </row>
    <row r="73" spans="2:11" ht="37.5" x14ac:dyDescent="0.25">
      <c r="B73" s="975"/>
      <c r="C73" s="94"/>
      <c r="D73" s="46" t="s">
        <v>826</v>
      </c>
      <c r="E73" s="5"/>
      <c r="F73" s="5"/>
      <c r="G73" s="5"/>
      <c r="H73" s="5"/>
      <c r="I73" s="5"/>
      <c r="J73" s="5"/>
      <c r="K73" s="5"/>
    </row>
    <row r="74" spans="2:11" ht="48.75" thickBot="1" x14ac:dyDescent="0.3">
      <c r="B74" s="976"/>
      <c r="C74" s="2"/>
      <c r="D74" s="40" t="s">
        <v>827</v>
      </c>
      <c r="E74" s="5"/>
      <c r="F74" s="5"/>
      <c r="G74" s="5"/>
      <c r="H74" s="5"/>
      <c r="I74" s="5"/>
      <c r="J74" s="5"/>
      <c r="K74" s="5"/>
    </row>
    <row r="75" spans="2:11" x14ac:dyDescent="0.25">
      <c r="B75" s="5"/>
      <c r="D75" s="5"/>
      <c r="E75" s="5"/>
      <c r="F75" s="5"/>
      <c r="G75" s="5"/>
      <c r="H75" s="5"/>
      <c r="I75" s="5"/>
      <c r="J75" s="5"/>
      <c r="K75" s="5"/>
    </row>
  </sheetData>
  <mergeCells count="21">
    <mergeCell ref="B10:D10"/>
    <mergeCell ref="F10:S10"/>
    <mergeCell ref="F11:S11"/>
    <mergeCell ref="E12:R12"/>
    <mergeCell ref="A1:P1"/>
    <mergeCell ref="A2:P2"/>
    <mergeCell ref="A3:P3"/>
    <mergeCell ref="A4:D4"/>
    <mergeCell ref="A5:P5"/>
    <mergeCell ref="E13:R13"/>
    <mergeCell ref="B65:B67"/>
    <mergeCell ref="B68:B74"/>
    <mergeCell ref="B15:B23"/>
    <mergeCell ref="D15:J15"/>
    <mergeCell ref="D19:J19"/>
    <mergeCell ref="D24:J24"/>
    <mergeCell ref="D25:J25"/>
    <mergeCell ref="B28:B34"/>
    <mergeCell ref="B37:B43"/>
    <mergeCell ref="B50:E51"/>
    <mergeCell ref="B56:B63"/>
  </mergeCells>
  <conditionalFormatting sqref="E12:R12">
    <cfRule type="expression" dxfId="110" priority="1">
      <formula>E11="SI SE REPORTA"</formula>
    </cfRule>
  </conditionalFormatting>
  <conditionalFormatting sqref="F10">
    <cfRule type="notContainsBlanks" dxfId="109" priority="4">
      <formula>LEN(TRIM(F10))&gt;0</formula>
    </cfRule>
  </conditionalFormatting>
  <conditionalFormatting sqref="F11:S11">
    <cfRule type="expression" dxfId="108" priority="2">
      <formula>E11="NO SE REPORTA"</formula>
    </cfRule>
    <cfRule type="expression" dxfId="107" priority="3">
      <formula>E10="NO APLICA"</formula>
    </cfRule>
  </conditionalFormatting>
  <dataValidations count="4">
    <dataValidation type="list" allowBlank="1" showInputMessage="1" showErrorMessage="1" sqref="E10" xr:uid="{00000000-0002-0000-0C00-000003000000}">
      <formula1>SI</formula1>
    </dataValidation>
    <dataValidation type="list" allowBlank="1" showInputMessage="1" showErrorMessage="1" sqref="E11" xr:uid="{00000000-0002-0000-0C00-000002000000}">
      <formula1>REPORTE</formula1>
    </dataValidation>
    <dataValidation allowBlank="1" showInputMessage="1" showErrorMessage="1" sqref="I21:I22" xr:uid="{00000000-0002-0000-0C00-000001000000}"/>
    <dataValidation type="whole" operator="greaterThanOrEqual" allowBlank="1" showErrorMessage="1" errorTitle="ERROR" error="Escriba un número igual o mayor que 0" promptTitle="ERROR" prompt="Escriba un número igual o mayor que 0" sqref="E16:E18 E21:H22" xr:uid="{00000000-0002-0000-0C00-000000000000}">
      <formula1>0</formula1>
    </dataValidation>
  </dataValidations>
  <hyperlinks>
    <hyperlink ref="B9" location="'ANEXO 3'!A1" display="VOLVER AL INDICE" xr:uid="{47F85857-6259-41B9-BE88-F35D75415AB1}"/>
  </hyperlinks>
  <pageMargins left="0.25" right="0.25" top="0.75" bottom="0.75" header="0.3" footer="0.3"/>
  <pageSetup paperSize="178" orientation="landscape"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C7D9-7F2F-49A8-883E-6136E8D76216}">
  <dimension ref="A1:U78"/>
  <sheetViews>
    <sheetView showGridLines="0" topLeftCell="A37" zoomScale="98" zoomScaleNormal="98" workbookViewId="0">
      <selection activeCell="I17" sqref="I17"/>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9</v>
      </c>
      <c r="B5" s="998"/>
      <c r="C5" s="998"/>
      <c r="D5" s="998"/>
      <c r="E5" s="998"/>
      <c r="F5" s="998"/>
      <c r="G5" s="998"/>
      <c r="H5" s="998"/>
      <c r="I5" s="998"/>
      <c r="J5" s="998"/>
      <c r="K5" s="998"/>
      <c r="L5" s="998"/>
      <c r="M5" s="998"/>
      <c r="N5" s="998"/>
      <c r="O5" s="998"/>
      <c r="P5" s="999"/>
    </row>
    <row r="6" spans="1:21" x14ac:dyDescent="0.25">
      <c r="B6" s="1" t="s">
        <v>626</v>
      </c>
      <c r="C6" s="76"/>
      <c r="D6" s="5"/>
      <c r="E6" s="74"/>
      <c r="F6" s="5" t="s">
        <v>627</v>
      </c>
      <c r="G6" s="5"/>
      <c r="H6" s="5"/>
      <c r="I6" s="5"/>
      <c r="J6" s="5"/>
      <c r="K6" s="5"/>
    </row>
    <row r="7" spans="1:21" ht="15.75" thickBot="1" x14ac:dyDescent="0.3">
      <c r="B7" s="75"/>
      <c r="C7" s="77"/>
      <c r="D7" s="5"/>
      <c r="E7" s="17"/>
      <c r="F7" s="5" t="s">
        <v>628</v>
      </c>
      <c r="G7" s="5"/>
      <c r="H7" s="5"/>
      <c r="I7" s="5"/>
      <c r="J7" s="5"/>
      <c r="K7" s="5"/>
    </row>
    <row r="8" spans="1:21" ht="15.75" thickBot="1" x14ac:dyDescent="0.3">
      <c r="B8" s="171" t="s">
        <v>629</v>
      </c>
      <c r="C8" s="211">
        <v>2024</v>
      </c>
      <c r="D8" s="216">
        <f>IF(E10="NO APLICA","NO APLICA",IF(E11="NO SE REPORTA","SIN INFORMACION",+E22))</f>
        <v>1</v>
      </c>
      <c r="E8" s="212"/>
      <c r="F8" s="5" t="s">
        <v>630</v>
      </c>
      <c r="G8" s="5"/>
      <c r="H8" s="5"/>
      <c r="I8" s="5"/>
      <c r="J8" s="5"/>
      <c r="K8" s="5"/>
    </row>
    <row r="9" spans="1:21" x14ac:dyDescent="0.25">
      <c r="B9" s="358" t="s">
        <v>631</v>
      </c>
      <c r="C9" s="88"/>
      <c r="D9" s="5"/>
      <c r="E9" s="5"/>
      <c r="F9" s="5"/>
      <c r="G9" s="5"/>
      <c r="H9" s="5"/>
      <c r="I9" s="5"/>
      <c r="J9" s="5"/>
      <c r="K9" s="5"/>
    </row>
    <row r="10" spans="1:21" x14ac:dyDescent="0.25">
      <c r="B10" s="1008" t="s">
        <v>632</v>
      </c>
      <c r="C10" s="1008"/>
      <c r="D10" s="1008"/>
      <c r="E10" s="361" t="s">
        <v>633</v>
      </c>
      <c r="F10" s="99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96"/>
      <c r="H10" s="996"/>
      <c r="I10" s="996"/>
      <c r="J10" s="996"/>
      <c r="K10" s="996"/>
      <c r="L10" s="996"/>
      <c r="M10" s="996"/>
      <c r="N10" s="996"/>
      <c r="O10" s="996"/>
      <c r="P10" s="996"/>
      <c r="Q10" s="996"/>
      <c r="R10" s="996"/>
      <c r="S10" s="996"/>
      <c r="T10" s="5"/>
      <c r="U10" s="5"/>
    </row>
    <row r="11" spans="1:21" ht="14.45" customHeight="1" x14ac:dyDescent="0.25">
      <c r="B11" s="360"/>
      <c r="C11" s="88"/>
      <c r="D11" s="171" t="str">
        <f>IF(E10="SI APLICA","¿El indicador no se reporta por limitaciones de información disponible? ","")</f>
        <v xml:space="preserve">¿El indicador no se reporta por limitaciones de información disponible? </v>
      </c>
      <c r="E11" s="362" t="s">
        <v>634</v>
      </c>
      <c r="F11" s="1009"/>
      <c r="G11" s="1010"/>
      <c r="H11" s="1010"/>
      <c r="I11" s="1010"/>
      <c r="J11" s="1010"/>
      <c r="K11" s="1010"/>
      <c r="L11" s="1010"/>
      <c r="M11" s="1010"/>
      <c r="N11" s="1010"/>
      <c r="O11" s="1010"/>
      <c r="P11" s="1010"/>
      <c r="Q11" s="1010"/>
      <c r="R11" s="1010"/>
      <c r="S11" s="1010"/>
    </row>
    <row r="12" spans="1:21" ht="23.45" customHeight="1" x14ac:dyDescent="0.25">
      <c r="B12" s="358"/>
      <c r="C12" s="88"/>
      <c r="D12" s="171" t="str">
        <f>IF(E11="SI SE REPORTA","¿Qué programas o proyectos del Plan de Acción están asociados al indicador? ","")</f>
        <v xml:space="preserve">¿Qué programas o proyectos del Plan de Acción están asociados al indicador? </v>
      </c>
      <c r="E12" s="1011" t="s">
        <v>2269</v>
      </c>
      <c r="F12" s="1011"/>
      <c r="G12" s="1011"/>
      <c r="H12" s="1011"/>
      <c r="I12" s="1011"/>
      <c r="J12" s="1011"/>
      <c r="K12" s="1011"/>
      <c r="L12" s="1011"/>
      <c r="M12" s="1011"/>
      <c r="N12" s="1011"/>
      <c r="O12" s="1011"/>
      <c r="P12" s="1011"/>
      <c r="Q12" s="1011"/>
      <c r="R12" s="1011"/>
    </row>
    <row r="13" spans="1:21" ht="21.95" customHeight="1" x14ac:dyDescent="0.25">
      <c r="B13" s="358"/>
      <c r="C13" s="88"/>
      <c r="D13" s="171" t="s">
        <v>635</v>
      </c>
      <c r="E13" s="1012"/>
      <c r="F13" s="1013"/>
      <c r="G13" s="1013"/>
      <c r="H13" s="1013"/>
      <c r="I13" s="1013"/>
      <c r="J13" s="1013"/>
      <c r="K13" s="1013"/>
      <c r="L13" s="1013"/>
      <c r="M13" s="1013"/>
      <c r="N13" s="1013"/>
      <c r="O13" s="1013"/>
      <c r="P13" s="1013"/>
      <c r="Q13" s="1013"/>
      <c r="R13" s="1014"/>
    </row>
    <row r="14" spans="1:21" ht="6.95" customHeight="1" thickBot="1" x14ac:dyDescent="0.3">
      <c r="B14" s="358"/>
      <c r="C14" s="88"/>
      <c r="D14" s="5"/>
      <c r="E14" s="5"/>
      <c r="F14" s="5"/>
      <c r="G14" s="5"/>
      <c r="H14" s="5"/>
      <c r="I14" s="5"/>
      <c r="J14" s="5"/>
      <c r="K14" s="5"/>
    </row>
    <row r="15" spans="1:21" ht="15.75" thickBot="1" x14ac:dyDescent="0.3">
      <c r="B15" s="974" t="s">
        <v>636</v>
      </c>
      <c r="C15" s="89"/>
      <c r="D15" s="956" t="s">
        <v>637</v>
      </c>
      <c r="E15" s="957"/>
      <c r="F15" s="957"/>
      <c r="G15" s="957"/>
      <c r="H15" s="957"/>
      <c r="I15" s="957"/>
      <c r="J15" s="958"/>
      <c r="K15" s="5"/>
    </row>
    <row r="16" spans="1:21" ht="48.75" thickBot="1" x14ac:dyDescent="0.3">
      <c r="B16" s="975"/>
      <c r="C16" s="94"/>
      <c r="D16" s="43" t="s">
        <v>828</v>
      </c>
      <c r="E16" s="206">
        <v>117</v>
      </c>
      <c r="F16" s="5"/>
      <c r="G16" s="5"/>
      <c r="H16" s="5"/>
      <c r="I16" s="5"/>
      <c r="J16" s="21"/>
      <c r="K16" s="5"/>
    </row>
    <row r="17" spans="2:11" ht="48.75" thickBot="1" x14ac:dyDescent="0.3">
      <c r="B17" s="975"/>
      <c r="C17" s="94"/>
      <c r="D17" s="40" t="s">
        <v>829</v>
      </c>
      <c r="E17" s="206">
        <v>117</v>
      </c>
      <c r="F17" s="5"/>
      <c r="G17" s="5"/>
      <c r="H17" s="5"/>
      <c r="I17" s="5"/>
      <c r="J17" s="21"/>
      <c r="K17" s="5"/>
    </row>
    <row r="18" spans="2:11" ht="15.75" thickBot="1" x14ac:dyDescent="0.3">
      <c r="B18" s="975"/>
      <c r="C18" s="92"/>
      <c r="D18" s="986"/>
      <c r="E18" s="987"/>
      <c r="F18" s="987"/>
      <c r="G18" s="987"/>
      <c r="H18" s="987"/>
      <c r="I18" s="987"/>
      <c r="J18" s="988"/>
      <c r="K18" s="5"/>
    </row>
    <row r="19" spans="2:11" ht="15.75" thickBot="1" x14ac:dyDescent="0.3">
      <c r="B19" s="975"/>
      <c r="C19" s="98" t="s">
        <v>585</v>
      </c>
      <c r="D19" s="43" t="s">
        <v>763</v>
      </c>
      <c r="E19" s="90" t="s">
        <v>587</v>
      </c>
      <c r="F19" s="90" t="s">
        <v>588</v>
      </c>
      <c r="G19" s="90" t="s">
        <v>589</v>
      </c>
      <c r="H19" s="90" t="s">
        <v>590</v>
      </c>
      <c r="I19" s="220" t="s">
        <v>593</v>
      </c>
      <c r="J19" s="111"/>
      <c r="K19" s="5"/>
    </row>
    <row r="20" spans="2:11" ht="36.75" thickBot="1" x14ac:dyDescent="0.3">
      <c r="B20" s="975"/>
      <c r="C20" s="2" t="s">
        <v>765</v>
      </c>
      <c r="D20" s="40" t="s">
        <v>830</v>
      </c>
      <c r="E20" s="206">
        <v>30</v>
      </c>
      <c r="F20" s="206"/>
      <c r="G20" s="206"/>
      <c r="H20" s="206"/>
      <c r="I20" s="30"/>
      <c r="J20" s="112"/>
      <c r="K20" s="5"/>
    </row>
    <row r="21" spans="2:11" ht="36.75" thickBot="1" x14ac:dyDescent="0.3">
      <c r="B21" s="975"/>
      <c r="C21" s="2" t="s">
        <v>767</v>
      </c>
      <c r="D21" s="40" t="s">
        <v>831</v>
      </c>
      <c r="E21" s="206">
        <v>30</v>
      </c>
      <c r="F21" s="206"/>
      <c r="G21" s="206"/>
      <c r="H21" s="206"/>
      <c r="I21" s="30"/>
      <c r="J21" s="112"/>
      <c r="K21" s="5"/>
    </row>
    <row r="22" spans="2:11" ht="36.75" thickBot="1" x14ac:dyDescent="0.3">
      <c r="B22" s="976"/>
      <c r="C22" s="2" t="s">
        <v>769</v>
      </c>
      <c r="D22" s="40" t="s">
        <v>832</v>
      </c>
      <c r="E22" s="185">
        <f>IFERROR(E21/E20,"N.A.")</f>
        <v>1</v>
      </c>
      <c r="F22" s="185" t="str">
        <f>IFERROR(F21/F20,"N.A.")</f>
        <v>N.A.</v>
      </c>
      <c r="G22" s="185" t="str">
        <f>IFERROR(G21/G20,"N.A.")</f>
        <v>N.A.</v>
      </c>
      <c r="H22" s="185" t="str">
        <f>IFERROR(H21/H20,"N.A.")</f>
        <v>N.A.</v>
      </c>
      <c r="I22" s="357"/>
      <c r="J22" s="113"/>
      <c r="K22" s="5"/>
    </row>
    <row r="23" spans="2:11" ht="24" customHeight="1" thickBot="1" x14ac:dyDescent="0.3">
      <c r="B23" s="47" t="s">
        <v>671</v>
      </c>
      <c r="C23" s="93"/>
      <c r="D23" s="983" t="s">
        <v>833</v>
      </c>
      <c r="E23" s="984"/>
      <c r="F23" s="984"/>
      <c r="G23" s="984"/>
      <c r="H23" s="984"/>
      <c r="I23" s="984"/>
      <c r="J23" s="985"/>
      <c r="K23" s="5"/>
    </row>
    <row r="24" spans="2:11" ht="24.75" thickBot="1" x14ac:dyDescent="0.3">
      <c r="B24" s="47" t="s">
        <v>673</v>
      </c>
      <c r="C24" s="93"/>
      <c r="D24" s="983" t="s">
        <v>772</v>
      </c>
      <c r="E24" s="984"/>
      <c r="F24" s="984"/>
      <c r="G24" s="984"/>
      <c r="H24" s="984"/>
      <c r="I24" s="984"/>
      <c r="J24" s="985"/>
      <c r="K24" s="5"/>
    </row>
    <row r="25" spans="2:11" ht="15.75" thickBot="1" x14ac:dyDescent="0.3">
      <c r="B25" s="37"/>
      <c r="C25" s="88"/>
      <c r="D25" s="5"/>
      <c r="E25" s="5"/>
      <c r="F25" s="5"/>
      <c r="G25" s="5"/>
      <c r="H25" s="5"/>
      <c r="I25" s="5"/>
      <c r="J25" s="240"/>
      <c r="K25" s="5"/>
    </row>
    <row r="26" spans="2:11" ht="15" customHeight="1" thickBot="1" x14ac:dyDescent="0.3">
      <c r="B26" s="119" t="s">
        <v>675</v>
      </c>
      <c r="C26" s="123"/>
      <c r="D26" s="123"/>
      <c r="E26" s="123"/>
      <c r="F26" s="123"/>
      <c r="G26" s="123"/>
      <c r="H26" s="123"/>
      <c r="I26" s="123"/>
      <c r="J26" s="124"/>
      <c r="K26" s="5"/>
    </row>
    <row r="27" spans="2:11" ht="15.75" thickBot="1" x14ac:dyDescent="0.3">
      <c r="B27" s="974">
        <v>1</v>
      </c>
      <c r="C27" s="89"/>
      <c r="D27" s="241" t="s">
        <v>676</v>
      </c>
      <c r="E27" s="1035" t="s">
        <v>2301</v>
      </c>
      <c r="F27" s="1036"/>
      <c r="I27" s="59"/>
      <c r="J27" s="242"/>
      <c r="K27" s="5"/>
    </row>
    <row r="28" spans="2:11" ht="15.75" thickBot="1" x14ac:dyDescent="0.3">
      <c r="B28" s="975"/>
      <c r="C28" s="92"/>
      <c r="D28" s="243" t="s">
        <v>525</v>
      </c>
      <c r="E28" s="1027" t="s">
        <v>2308</v>
      </c>
      <c r="F28" s="1028"/>
      <c r="I28" s="59"/>
      <c r="J28" s="21"/>
      <c r="K28" s="5"/>
    </row>
    <row r="29" spans="2:11" ht="15.75" thickBot="1" x14ac:dyDescent="0.3">
      <c r="B29" s="975"/>
      <c r="C29" s="92"/>
      <c r="D29" s="243" t="s">
        <v>677</v>
      </c>
      <c r="E29" s="1027" t="s">
        <v>2303</v>
      </c>
      <c r="F29" s="1028"/>
      <c r="I29" s="59"/>
      <c r="J29" s="21"/>
      <c r="K29" s="5"/>
    </row>
    <row r="30" spans="2:11" ht="15.75" thickBot="1" x14ac:dyDescent="0.3">
      <c r="B30" s="975"/>
      <c r="C30" s="92"/>
      <c r="D30" s="243" t="s">
        <v>527</v>
      </c>
      <c r="E30" s="1027" t="s">
        <v>2304</v>
      </c>
      <c r="F30" s="1028"/>
      <c r="I30" s="59"/>
      <c r="J30" s="21"/>
      <c r="K30" s="5"/>
    </row>
    <row r="31" spans="2:11" ht="15.75" thickBot="1" x14ac:dyDescent="0.3">
      <c r="B31" s="975"/>
      <c r="C31" s="92"/>
      <c r="D31" s="243" t="s">
        <v>529</v>
      </c>
      <c r="E31" s="1029" t="s">
        <v>2309</v>
      </c>
      <c r="F31" s="1030"/>
      <c r="I31" s="59"/>
      <c r="J31" s="21"/>
      <c r="K31" s="5"/>
    </row>
    <row r="32" spans="2:11" ht="15.75" thickBot="1" x14ac:dyDescent="0.3">
      <c r="B32" s="975"/>
      <c r="C32" s="92"/>
      <c r="D32" s="243" t="s">
        <v>531</v>
      </c>
      <c r="E32" s="1031">
        <v>5748960</v>
      </c>
      <c r="F32" s="1032"/>
      <c r="I32" s="59"/>
      <c r="J32" s="21"/>
      <c r="K32" s="5"/>
    </row>
    <row r="33" spans="2:11" ht="15.75" thickBot="1" x14ac:dyDescent="0.3">
      <c r="B33" s="976"/>
      <c r="C33" s="93"/>
      <c r="D33" s="243" t="s">
        <v>678</v>
      </c>
      <c r="E33" s="1027" t="s">
        <v>2306</v>
      </c>
      <c r="F33" s="1028"/>
      <c r="I33" s="244"/>
      <c r="J33" s="23"/>
      <c r="K33" s="5"/>
    </row>
    <row r="34" spans="2:11" ht="15" customHeight="1" thickBot="1" x14ac:dyDescent="0.3">
      <c r="B34" s="119" t="s">
        <v>679</v>
      </c>
      <c r="C34" s="120"/>
      <c r="D34" s="120"/>
      <c r="E34" s="120"/>
      <c r="F34" s="120"/>
      <c r="G34" s="120"/>
      <c r="H34" s="120"/>
      <c r="I34" s="123"/>
      <c r="J34" s="124"/>
      <c r="K34" s="5"/>
    </row>
    <row r="35" spans="2:11" ht="14.45" customHeight="1" thickBot="1" x14ac:dyDescent="0.3">
      <c r="B35" s="974">
        <v>1</v>
      </c>
      <c r="C35" s="89"/>
      <c r="D35" s="245" t="s">
        <v>676</v>
      </c>
      <c r="E35" s="219" t="s">
        <v>680</v>
      </c>
      <c r="F35" s="220"/>
      <c r="I35" s="59"/>
      <c r="J35" s="242"/>
      <c r="K35" s="5"/>
    </row>
    <row r="36" spans="2:11" ht="15.75" thickBot="1" x14ac:dyDescent="0.3">
      <c r="B36" s="975"/>
      <c r="C36" s="92"/>
      <c r="D36" s="126" t="s">
        <v>525</v>
      </c>
      <c r="E36" s="219" t="s">
        <v>773</v>
      </c>
      <c r="F36" s="219"/>
      <c r="I36" s="59"/>
      <c r="J36" s="21"/>
      <c r="K36" s="5"/>
    </row>
    <row r="37" spans="2:11" ht="15.75" thickBot="1" x14ac:dyDescent="0.3">
      <c r="B37" s="975"/>
      <c r="C37" s="92"/>
      <c r="D37" s="126" t="s">
        <v>677</v>
      </c>
      <c r="E37" s="1033"/>
      <c r="F37" s="1034"/>
      <c r="I37" s="59"/>
      <c r="J37" s="21"/>
      <c r="K37" s="5"/>
    </row>
    <row r="38" spans="2:11" ht="15.75" thickBot="1" x14ac:dyDescent="0.3">
      <c r="B38" s="975"/>
      <c r="C38" s="92"/>
      <c r="D38" s="126" t="s">
        <v>527</v>
      </c>
      <c r="E38" s="1033"/>
      <c r="F38" s="1034"/>
      <c r="I38" s="59"/>
      <c r="J38" s="21"/>
      <c r="K38" s="5"/>
    </row>
    <row r="39" spans="2:11" ht="15.75" thickBot="1" x14ac:dyDescent="0.3">
      <c r="B39" s="975"/>
      <c r="C39" s="92"/>
      <c r="D39" s="126" t="s">
        <v>529</v>
      </c>
      <c r="E39" s="1033"/>
      <c r="F39" s="1034"/>
      <c r="I39" s="59"/>
      <c r="J39" s="21"/>
      <c r="K39" s="5"/>
    </row>
    <row r="40" spans="2:11" ht="15.75" thickBot="1" x14ac:dyDescent="0.3">
      <c r="B40" s="975"/>
      <c r="C40" s="92"/>
      <c r="D40" s="126" t="s">
        <v>531</v>
      </c>
      <c r="E40" s="1033"/>
      <c r="F40" s="1034"/>
      <c r="I40" s="59"/>
      <c r="J40" s="21"/>
      <c r="K40" s="5"/>
    </row>
    <row r="41" spans="2:11" ht="15.75" thickBot="1" x14ac:dyDescent="0.3">
      <c r="B41" s="976"/>
      <c r="C41" s="93"/>
      <c r="D41" s="126" t="s">
        <v>678</v>
      </c>
      <c r="E41" s="1033"/>
      <c r="F41" s="1034"/>
      <c r="I41" s="244"/>
      <c r="J41" s="23"/>
      <c r="K41" s="5"/>
    </row>
    <row r="42" spans="2:11" ht="15.75" thickBot="1" x14ac:dyDescent="0.3">
      <c r="B42" s="246"/>
      <c r="C42" s="247"/>
      <c r="D42" s="248"/>
      <c r="E42" s="248"/>
      <c r="F42" s="248"/>
      <c r="G42" s="123"/>
      <c r="H42" s="123"/>
      <c r="I42" s="123"/>
      <c r="J42" s="124"/>
      <c r="K42" s="5"/>
    </row>
    <row r="43" spans="2:11" ht="15.75" thickBot="1" x14ac:dyDescent="0.3">
      <c r="B43" s="971" t="s">
        <v>682</v>
      </c>
      <c r="C43" s="972"/>
      <c r="D43" s="972"/>
      <c r="E43" s="972"/>
      <c r="F43" s="972"/>
      <c r="G43" s="972"/>
      <c r="H43" s="972"/>
      <c r="I43" s="973"/>
      <c r="J43" s="124"/>
      <c r="K43" s="5"/>
    </row>
    <row r="44" spans="2:11" ht="24" customHeight="1" thickBot="1" x14ac:dyDescent="0.3">
      <c r="B44" s="983" t="s">
        <v>683</v>
      </c>
      <c r="C44" s="984"/>
      <c r="D44" s="985"/>
      <c r="E44" s="40" t="s">
        <v>684</v>
      </c>
      <c r="F44" s="983" t="s">
        <v>685</v>
      </c>
      <c r="G44" s="985"/>
      <c r="H44" s="983" t="s">
        <v>686</v>
      </c>
      <c r="I44" s="985"/>
      <c r="J44" s="114"/>
      <c r="K44" s="5"/>
    </row>
    <row r="45" spans="2:11" ht="108" customHeight="1" thickBot="1" x14ac:dyDescent="0.3">
      <c r="B45" s="1039">
        <v>42401</v>
      </c>
      <c r="C45" s="1040"/>
      <c r="D45" s="1041"/>
      <c r="E45" s="40">
        <v>0.01</v>
      </c>
      <c r="F45" s="1042" t="s">
        <v>834</v>
      </c>
      <c r="G45" s="1043"/>
      <c r="H45" s="983"/>
      <c r="I45" s="985"/>
      <c r="J45" s="116"/>
      <c r="K45" s="5"/>
    </row>
    <row r="46" spans="2:11" x14ac:dyDescent="0.25">
      <c r="B46" s="249"/>
      <c r="C46" s="250"/>
      <c r="D46" s="249"/>
      <c r="E46" s="249"/>
      <c r="F46" s="249"/>
      <c r="G46" s="249"/>
      <c r="H46" s="249"/>
      <c r="I46" s="249"/>
      <c r="J46" s="5"/>
      <c r="K46" s="5"/>
    </row>
    <row r="47" spans="2:11" ht="15.75" thickBot="1" x14ac:dyDescent="0.3">
      <c r="B47" s="1"/>
      <c r="C47" s="76"/>
      <c r="D47" s="5"/>
      <c r="E47" s="5"/>
      <c r="F47" s="5"/>
      <c r="G47" s="5"/>
      <c r="H47" s="5"/>
      <c r="I47" s="5"/>
      <c r="J47" s="5"/>
      <c r="K47" s="5"/>
    </row>
    <row r="48" spans="2:11" ht="15.75" thickBot="1" x14ac:dyDescent="0.3">
      <c r="B48" s="4" t="s">
        <v>593</v>
      </c>
      <c r="C48" s="96"/>
      <c r="D48" s="5"/>
      <c r="E48" s="5"/>
      <c r="F48" s="5"/>
      <c r="G48" s="5"/>
      <c r="H48" s="5"/>
      <c r="I48" s="5"/>
      <c r="J48" s="5"/>
      <c r="K48" s="5"/>
    </row>
    <row r="49" spans="2:11" x14ac:dyDescent="0.25">
      <c r="B49" s="1037"/>
      <c r="C49" s="1038"/>
      <c r="D49" s="1038"/>
      <c r="E49" s="1038"/>
      <c r="F49" s="1038"/>
      <c r="G49" s="1038"/>
      <c r="H49" s="1038"/>
      <c r="I49" s="1038"/>
      <c r="J49" s="1038"/>
      <c r="K49" s="5"/>
    </row>
    <row r="50" spans="2:11" x14ac:dyDescent="0.25">
      <c r="B50" s="1037"/>
      <c r="C50" s="1038"/>
      <c r="D50" s="1038"/>
      <c r="E50" s="1038"/>
      <c r="F50" s="1038"/>
      <c r="G50" s="1038"/>
      <c r="H50" s="1038"/>
      <c r="I50" s="1038"/>
      <c r="J50" s="1038"/>
      <c r="K50" s="5"/>
    </row>
    <row r="51" spans="2:11" x14ac:dyDescent="0.25">
      <c r="B51" s="1"/>
      <c r="C51" s="76"/>
      <c r="D51" s="5"/>
      <c r="E51" s="5"/>
      <c r="F51" s="5"/>
      <c r="G51" s="5"/>
      <c r="H51" s="5"/>
      <c r="I51" s="5"/>
      <c r="J51" s="5"/>
      <c r="K51" s="5"/>
    </row>
    <row r="52" spans="2:11" ht="15.75" thickBot="1" x14ac:dyDescent="0.3">
      <c r="B52" s="5"/>
      <c r="D52" s="5"/>
      <c r="E52" s="5"/>
      <c r="F52" s="5"/>
      <c r="G52" s="5"/>
      <c r="H52" s="5"/>
      <c r="I52" s="5"/>
      <c r="J52" s="5"/>
      <c r="K52" s="5"/>
    </row>
    <row r="53" spans="2:11" ht="24.75" thickBot="1" x14ac:dyDescent="0.3">
      <c r="B53" s="51" t="s">
        <v>688</v>
      </c>
      <c r="C53" s="97"/>
      <c r="D53" s="5"/>
      <c r="E53" s="5"/>
      <c r="F53" s="5"/>
      <c r="G53" s="5"/>
      <c r="H53" s="5"/>
      <c r="I53" s="5"/>
      <c r="J53" s="5"/>
      <c r="K53" s="5"/>
    </row>
    <row r="54" spans="2:11" ht="15.75" thickBot="1" x14ac:dyDescent="0.3">
      <c r="B54" s="1"/>
      <c r="C54" s="76"/>
      <c r="D54" s="5"/>
      <c r="E54" s="5"/>
      <c r="F54" s="5"/>
      <c r="G54" s="5"/>
      <c r="H54" s="5"/>
      <c r="I54" s="5"/>
      <c r="J54" s="5"/>
      <c r="K54" s="5"/>
    </row>
    <row r="55" spans="2:11" ht="72.75" thickBot="1" x14ac:dyDescent="0.3">
      <c r="B55" s="52" t="s">
        <v>689</v>
      </c>
      <c r="C55" s="98"/>
      <c r="D55" s="43" t="s">
        <v>835</v>
      </c>
      <c r="E55" s="5"/>
      <c r="F55" s="5"/>
      <c r="G55" s="5"/>
      <c r="H55" s="5"/>
      <c r="I55" s="5"/>
      <c r="J55" s="5"/>
      <c r="K55" s="5"/>
    </row>
    <row r="56" spans="2:11" x14ac:dyDescent="0.25">
      <c r="B56" s="974" t="s">
        <v>691</v>
      </c>
      <c r="C56" s="94"/>
      <c r="D56" s="53" t="s">
        <v>692</v>
      </c>
      <c r="E56" s="5"/>
      <c r="F56" s="5"/>
      <c r="G56" s="5"/>
      <c r="H56" s="5"/>
      <c r="I56" s="5"/>
      <c r="J56" s="5"/>
      <c r="K56" s="5"/>
    </row>
    <row r="57" spans="2:11" ht="60" x14ac:dyDescent="0.25">
      <c r="B57" s="975"/>
      <c r="C57" s="94"/>
      <c r="D57" s="46" t="s">
        <v>836</v>
      </c>
      <c r="E57" s="5"/>
      <c r="F57" s="5"/>
      <c r="G57" s="5"/>
      <c r="H57" s="5"/>
      <c r="I57" s="5"/>
      <c r="J57" s="5"/>
      <c r="K57" s="5"/>
    </row>
    <row r="58" spans="2:11" x14ac:dyDescent="0.25">
      <c r="B58" s="975"/>
      <c r="C58" s="94"/>
      <c r="D58" s="53" t="s">
        <v>777</v>
      </c>
      <c r="E58" s="5"/>
      <c r="F58" s="5"/>
      <c r="G58" s="5"/>
      <c r="H58" s="5"/>
      <c r="I58" s="5"/>
      <c r="J58" s="5"/>
      <c r="K58" s="5"/>
    </row>
    <row r="59" spans="2:11" x14ac:dyDescent="0.25">
      <c r="B59" s="975"/>
      <c r="C59" s="94"/>
      <c r="D59" s="46" t="s">
        <v>696</v>
      </c>
      <c r="E59" s="5"/>
      <c r="F59" s="5"/>
      <c r="G59" s="5"/>
      <c r="H59" s="5"/>
      <c r="I59" s="5"/>
      <c r="J59" s="5"/>
      <c r="K59" s="5"/>
    </row>
    <row r="60" spans="2:11" x14ac:dyDescent="0.25">
      <c r="B60" s="975"/>
      <c r="C60" s="94"/>
      <c r="D60" s="46" t="s">
        <v>800</v>
      </c>
      <c r="E60" s="5"/>
      <c r="F60" s="5"/>
      <c r="G60" s="5"/>
      <c r="H60" s="5"/>
      <c r="I60" s="5"/>
      <c r="J60" s="5"/>
      <c r="K60" s="5"/>
    </row>
    <row r="61" spans="2:11" x14ac:dyDescent="0.25">
      <c r="B61" s="975"/>
      <c r="C61" s="94"/>
      <c r="D61" s="46" t="s">
        <v>837</v>
      </c>
      <c r="E61" s="5"/>
      <c r="F61" s="5"/>
      <c r="G61" s="5"/>
      <c r="H61" s="5"/>
      <c r="I61" s="5"/>
      <c r="J61" s="5"/>
      <c r="K61" s="5"/>
    </row>
    <row r="62" spans="2:11" x14ac:dyDescent="0.25">
      <c r="B62" s="975"/>
      <c r="C62" s="94"/>
      <c r="D62" s="46" t="s">
        <v>838</v>
      </c>
      <c r="E62" s="5"/>
      <c r="F62" s="5"/>
      <c r="G62" s="5"/>
      <c r="H62" s="5"/>
      <c r="I62" s="5"/>
      <c r="J62" s="5"/>
      <c r="K62" s="5"/>
    </row>
    <row r="63" spans="2:11" ht="24" x14ac:dyDescent="0.25">
      <c r="B63" s="975"/>
      <c r="C63" s="94"/>
      <c r="D63" s="46" t="s">
        <v>839</v>
      </c>
      <c r="E63" s="5"/>
      <c r="F63" s="5"/>
      <c r="G63" s="5"/>
      <c r="H63" s="5"/>
      <c r="I63" s="5"/>
      <c r="J63" s="5"/>
      <c r="K63" s="5"/>
    </row>
    <row r="64" spans="2:11" x14ac:dyDescent="0.25">
      <c r="B64" s="975"/>
      <c r="C64" s="94"/>
      <c r="D64" s="53" t="s">
        <v>784</v>
      </c>
      <c r="E64" s="5"/>
      <c r="F64" s="5"/>
      <c r="G64" s="5"/>
      <c r="H64" s="5"/>
      <c r="I64" s="5"/>
      <c r="J64" s="5"/>
      <c r="K64" s="5"/>
    </row>
    <row r="65" spans="2:11" ht="15.75" thickBot="1" x14ac:dyDescent="0.3">
      <c r="B65" s="976"/>
      <c r="C65" s="2"/>
      <c r="D65" s="68"/>
      <c r="E65" s="5"/>
      <c r="F65" s="5"/>
      <c r="G65" s="5"/>
      <c r="H65" s="5"/>
      <c r="I65" s="5"/>
      <c r="J65" s="5"/>
      <c r="K65" s="5"/>
    </row>
    <row r="66" spans="2:11" ht="24.75" thickBot="1" x14ac:dyDescent="0.3">
      <c r="B66" s="47" t="s">
        <v>704</v>
      </c>
      <c r="C66" s="2"/>
      <c r="D66" s="40"/>
      <c r="E66" s="5"/>
      <c r="F66" s="5"/>
      <c r="G66" s="5"/>
      <c r="H66" s="5"/>
      <c r="I66" s="5"/>
      <c r="J66" s="5"/>
      <c r="K66" s="5"/>
    </row>
    <row r="67" spans="2:11" ht="156" x14ac:dyDescent="0.25">
      <c r="B67" s="974" t="s">
        <v>705</v>
      </c>
      <c r="C67" s="94"/>
      <c r="D67" s="46" t="s">
        <v>840</v>
      </c>
      <c r="E67" s="5"/>
      <c r="F67" s="5"/>
      <c r="G67" s="5"/>
      <c r="H67" s="5"/>
      <c r="I67" s="5"/>
      <c r="J67" s="5"/>
      <c r="K67" s="5"/>
    </row>
    <row r="68" spans="2:11" ht="132" x14ac:dyDescent="0.25">
      <c r="B68" s="975"/>
      <c r="C68" s="94"/>
      <c r="D68" s="46" t="s">
        <v>841</v>
      </c>
      <c r="E68" s="5"/>
      <c r="F68" s="5"/>
      <c r="G68" s="5"/>
      <c r="H68" s="5"/>
      <c r="I68" s="5"/>
      <c r="J68" s="5"/>
      <c r="K68" s="5"/>
    </row>
    <row r="69" spans="2:11" ht="216" x14ac:dyDescent="0.25">
      <c r="B69" s="975"/>
      <c r="C69" s="94"/>
      <c r="D69" s="46" t="s">
        <v>842</v>
      </c>
      <c r="E69" s="5"/>
      <c r="F69" s="5"/>
      <c r="G69" s="5"/>
      <c r="H69" s="5"/>
      <c r="I69" s="5"/>
      <c r="J69" s="5"/>
      <c r="K69" s="5"/>
    </row>
    <row r="70" spans="2:11" ht="72" x14ac:dyDescent="0.25">
      <c r="B70" s="975"/>
      <c r="C70" s="94"/>
      <c r="D70" s="46" t="s">
        <v>843</v>
      </c>
      <c r="E70" s="5"/>
      <c r="F70" s="5"/>
      <c r="G70" s="5"/>
      <c r="H70" s="5"/>
      <c r="I70" s="5"/>
      <c r="J70" s="5"/>
      <c r="K70" s="5"/>
    </row>
    <row r="71" spans="2:11" ht="15.75" thickBot="1" x14ac:dyDescent="0.3">
      <c r="B71" s="976"/>
      <c r="C71" s="2"/>
      <c r="D71" s="40"/>
      <c r="E71" s="5"/>
      <c r="F71" s="5"/>
      <c r="G71" s="5"/>
      <c r="H71" s="5"/>
      <c r="I71" s="5"/>
      <c r="J71" s="5"/>
      <c r="K71" s="5"/>
    </row>
    <row r="72" spans="2:11" x14ac:dyDescent="0.25">
      <c r="B72" s="974" t="s">
        <v>722</v>
      </c>
      <c r="C72" s="94"/>
      <c r="D72" s="46"/>
      <c r="E72" s="5"/>
      <c r="F72" s="5"/>
      <c r="G72" s="5"/>
      <c r="H72" s="5"/>
      <c r="I72" s="5"/>
      <c r="J72" s="5"/>
      <c r="K72" s="5"/>
    </row>
    <row r="73" spans="2:11" x14ac:dyDescent="0.25">
      <c r="B73" s="975"/>
      <c r="C73" s="94"/>
      <c r="D73" s="16"/>
      <c r="E73" s="5"/>
      <c r="F73" s="5"/>
      <c r="G73" s="5"/>
      <c r="H73" s="5"/>
      <c r="I73" s="5"/>
      <c r="J73" s="5"/>
      <c r="K73" s="5"/>
    </row>
    <row r="74" spans="2:11" x14ac:dyDescent="0.25">
      <c r="B74" s="975"/>
      <c r="C74" s="94"/>
      <c r="D74" s="46" t="s">
        <v>723</v>
      </c>
      <c r="E74" s="5"/>
      <c r="F74" s="5"/>
      <c r="G74" s="5"/>
      <c r="H74" s="5"/>
      <c r="I74" s="5"/>
      <c r="J74" s="5"/>
      <c r="K74" s="5"/>
    </row>
    <row r="75" spans="2:11" ht="37.5" x14ac:dyDescent="0.25">
      <c r="B75" s="975"/>
      <c r="C75" s="94"/>
      <c r="D75" s="46" t="s">
        <v>844</v>
      </c>
      <c r="E75" s="5"/>
      <c r="F75" s="5"/>
      <c r="G75" s="5"/>
      <c r="H75" s="5"/>
      <c r="I75" s="5"/>
      <c r="J75" s="5"/>
      <c r="K75" s="5"/>
    </row>
    <row r="76" spans="2:11" ht="37.5" x14ac:dyDescent="0.25">
      <c r="B76" s="975"/>
      <c r="C76" s="94"/>
      <c r="D76" s="46" t="s">
        <v>845</v>
      </c>
      <c r="E76" s="5"/>
      <c r="F76" s="5"/>
      <c r="G76" s="5"/>
      <c r="H76" s="5"/>
      <c r="I76" s="5"/>
      <c r="J76" s="5"/>
      <c r="K76" s="5"/>
    </row>
    <row r="77" spans="2:11" ht="37.5" x14ac:dyDescent="0.25">
      <c r="B77" s="975"/>
      <c r="C77" s="94"/>
      <c r="D77" s="46" t="s">
        <v>846</v>
      </c>
      <c r="E77" s="5"/>
      <c r="F77" s="5"/>
      <c r="G77" s="5"/>
      <c r="H77" s="5"/>
      <c r="I77" s="5"/>
      <c r="J77" s="5"/>
      <c r="K77" s="5"/>
    </row>
    <row r="78" spans="2:11" ht="48.75" thickBot="1" x14ac:dyDescent="0.3">
      <c r="B78" s="976"/>
      <c r="C78" s="2"/>
      <c r="D78" s="40" t="s">
        <v>847</v>
      </c>
      <c r="E78" s="5"/>
      <c r="F78" s="5"/>
      <c r="G78" s="5"/>
      <c r="H78" s="5"/>
      <c r="I78" s="5"/>
      <c r="J78" s="5"/>
      <c r="K78" s="5"/>
    </row>
  </sheetData>
  <sheetProtection insertColumns="0" insertRows="0"/>
  <mergeCells count="40">
    <mergeCell ref="B49:J50"/>
    <mergeCell ref="B45:D45"/>
    <mergeCell ref="F45:G45"/>
    <mergeCell ref="H45:I45"/>
    <mergeCell ref="E41:F41"/>
    <mergeCell ref="B35:B41"/>
    <mergeCell ref="E37:F37"/>
    <mergeCell ref="E39:F39"/>
    <mergeCell ref="E38:F38"/>
    <mergeCell ref="B27:B33"/>
    <mergeCell ref="A1:P1"/>
    <mergeCell ref="A2:P2"/>
    <mergeCell ref="A3:P3"/>
    <mergeCell ref="A4:D4"/>
    <mergeCell ref="A5:P5"/>
    <mergeCell ref="E27:F27"/>
    <mergeCell ref="E28:F28"/>
    <mergeCell ref="E29:F29"/>
    <mergeCell ref="E33:F33"/>
    <mergeCell ref="B10:D10"/>
    <mergeCell ref="F10:S10"/>
    <mergeCell ref="F11:S11"/>
    <mergeCell ref="E12:R12"/>
    <mergeCell ref="E13:R13"/>
    <mergeCell ref="B56:B65"/>
    <mergeCell ref="B67:B71"/>
    <mergeCell ref="B72:B78"/>
    <mergeCell ref="B15:B22"/>
    <mergeCell ref="D15:J15"/>
    <mergeCell ref="D18:J18"/>
    <mergeCell ref="E30:F30"/>
    <mergeCell ref="E31:F31"/>
    <mergeCell ref="E32:F32"/>
    <mergeCell ref="D23:J23"/>
    <mergeCell ref="B43:I43"/>
    <mergeCell ref="B44:D44"/>
    <mergeCell ref="F44:G44"/>
    <mergeCell ref="H44:I44"/>
    <mergeCell ref="E40:F40"/>
    <mergeCell ref="D24:J24"/>
  </mergeCells>
  <conditionalFormatting sqref="E12:R12">
    <cfRule type="expression" dxfId="106" priority="1">
      <formula>E11="SI SE REPORTA"</formula>
    </cfRule>
  </conditionalFormatting>
  <conditionalFormatting sqref="F10">
    <cfRule type="notContainsBlanks" dxfId="105" priority="4">
      <formula>LEN(TRIM(F10))&gt;0</formula>
    </cfRule>
  </conditionalFormatting>
  <conditionalFormatting sqref="F11:S11">
    <cfRule type="expression" dxfId="104" priority="2">
      <formula>E11="NO SE REPORTA"</formula>
    </cfRule>
    <cfRule type="expression" dxfId="103" priority="3">
      <formula>E10="NO APLICA"</formula>
    </cfRule>
  </conditionalFormatting>
  <dataValidations count="3">
    <dataValidation type="list" allowBlank="1" showInputMessage="1" showErrorMessage="1" sqref="E10" xr:uid="{00000000-0002-0000-0D00-000002000000}">
      <formula1>SI</formula1>
    </dataValidation>
    <dataValidation type="list" allowBlank="1" showInputMessage="1" showErrorMessage="1" sqref="E11" xr:uid="{00000000-0002-0000-0D00-000001000000}">
      <formula1>REPORTE</formula1>
    </dataValidation>
    <dataValidation type="whole" operator="greaterThanOrEqual" allowBlank="1" showErrorMessage="1" errorTitle="ERROR" error="Escriba un número igual o mayor que 0" promptTitle="ERROR" prompt="Escriba un número igual o mayor que 0" sqref="E16:E17 E20:H21" xr:uid="{00000000-0002-0000-0D00-000000000000}">
      <formula1>0</formula1>
    </dataValidation>
  </dataValidations>
  <hyperlinks>
    <hyperlink ref="B9" location="'ANEXO 3'!A1" display="VOLVER AL INDICE" xr:uid="{8D64961A-7AD4-4724-BE54-74D4363C4E96}"/>
    <hyperlink ref="E31" r:id="rId1" xr:uid="{E0675BEF-E0BD-4BFE-BE2C-612D24D82915}"/>
  </hyperlinks>
  <pageMargins left="0.25" right="0.25" top="0.75" bottom="0.75" header="0.3" footer="0.3"/>
  <pageSetup paperSize="178" orientation="landscape" horizontalDpi="1200" verticalDpi="1200"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6F4F4-48AA-4705-9E47-9B7A6C5AE939}">
  <dimension ref="A1:U127"/>
  <sheetViews>
    <sheetView showGridLines="0" topLeftCell="A73" zoomScale="98" zoomScaleNormal="98" workbookViewId="0">
      <selection activeCell="E61" sqref="E61"/>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11</v>
      </c>
      <c r="B5" s="998"/>
      <c r="C5" s="998"/>
      <c r="D5" s="998"/>
      <c r="E5" s="998"/>
      <c r="F5" s="998"/>
      <c r="G5" s="998"/>
      <c r="H5" s="998"/>
      <c r="I5" s="998"/>
      <c r="J5" s="998"/>
      <c r="K5" s="998"/>
      <c r="L5" s="998"/>
      <c r="M5" s="998"/>
      <c r="N5" s="998"/>
      <c r="O5" s="998"/>
      <c r="P5" s="999"/>
    </row>
    <row r="6" spans="1:21" x14ac:dyDescent="0.25">
      <c r="B6" s="1" t="s">
        <v>626</v>
      </c>
      <c r="C6" s="76"/>
      <c r="D6" s="5"/>
      <c r="E6" s="74"/>
      <c r="F6" s="5" t="s">
        <v>627</v>
      </c>
      <c r="G6" s="5"/>
      <c r="H6" s="5"/>
      <c r="I6" s="5"/>
      <c r="J6" s="5"/>
      <c r="K6" s="5"/>
    </row>
    <row r="7" spans="1:21" ht="15.75" thickBot="1" x14ac:dyDescent="0.3">
      <c r="B7" s="75"/>
      <c r="C7" s="77"/>
      <c r="D7" s="5"/>
      <c r="E7" s="17"/>
      <c r="F7" s="5" t="s">
        <v>628</v>
      </c>
      <c r="G7" s="5"/>
      <c r="H7" s="5"/>
      <c r="I7" s="5"/>
      <c r="J7" s="5"/>
      <c r="K7" s="5"/>
    </row>
    <row r="8" spans="1:21" ht="15.75" thickBot="1" x14ac:dyDescent="0.3">
      <c r="B8" s="171" t="s">
        <v>629</v>
      </c>
      <c r="C8" s="211">
        <v>2024</v>
      </c>
      <c r="D8" s="216" t="str">
        <f>IF(E10="NO APLICA","NO APLICA",IF(E11="NO SE REPORTA","SIN INFORMACION",+G27))</f>
        <v>N.A.</v>
      </c>
      <c r="E8" s="212"/>
      <c r="F8" s="5" t="s">
        <v>630</v>
      </c>
      <c r="G8" s="5"/>
      <c r="H8" s="5"/>
      <c r="I8" s="5"/>
      <c r="J8" s="5"/>
      <c r="K8" s="5"/>
    </row>
    <row r="9" spans="1:21" x14ac:dyDescent="0.25">
      <c r="B9" s="358" t="s">
        <v>631</v>
      </c>
      <c r="C9" s="88"/>
      <c r="D9" s="5"/>
      <c r="E9" s="5"/>
      <c r="F9" s="5"/>
      <c r="G9" s="5"/>
      <c r="H9" s="5"/>
      <c r="I9" s="5"/>
      <c r="J9" s="5"/>
      <c r="K9" s="5"/>
    </row>
    <row r="10" spans="1:21" x14ac:dyDescent="0.25">
      <c r="B10" s="1008" t="s">
        <v>632</v>
      </c>
      <c r="C10" s="1008"/>
      <c r="D10" s="1008"/>
      <c r="E10" s="361" t="s">
        <v>633</v>
      </c>
      <c r="F10" s="99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96"/>
      <c r="H10" s="996"/>
      <c r="I10" s="996"/>
      <c r="J10" s="996"/>
      <c r="K10" s="996"/>
      <c r="L10" s="996"/>
      <c r="M10" s="996"/>
      <c r="N10" s="996"/>
      <c r="O10" s="996"/>
      <c r="P10" s="996"/>
      <c r="Q10" s="996"/>
      <c r="R10" s="996"/>
      <c r="S10" s="996"/>
      <c r="T10" s="5"/>
      <c r="U10" s="5"/>
    </row>
    <row r="11" spans="1:21" ht="14.45" customHeight="1" x14ac:dyDescent="0.25">
      <c r="B11" s="360"/>
      <c r="C11" s="88"/>
      <c r="D11" s="171" t="str">
        <f>IF(E10="SI APLICA","¿El indicador no se reporta por limitaciones de información disponible? ","")</f>
        <v xml:space="preserve">¿El indicador no se reporta por limitaciones de información disponible? </v>
      </c>
      <c r="E11" s="362" t="s">
        <v>634</v>
      </c>
      <c r="F11" s="1009"/>
      <c r="G11" s="1010"/>
      <c r="H11" s="1010"/>
      <c r="I11" s="1010"/>
      <c r="J11" s="1010"/>
      <c r="K11" s="1010"/>
      <c r="L11" s="1010"/>
      <c r="M11" s="1010"/>
      <c r="N11" s="1010"/>
      <c r="O11" s="1010"/>
      <c r="P11" s="1010"/>
      <c r="Q11" s="1010"/>
      <c r="R11" s="1010"/>
      <c r="S11" s="1010"/>
    </row>
    <row r="12" spans="1:21" ht="23.45" customHeight="1" x14ac:dyDescent="0.25">
      <c r="B12" s="358"/>
      <c r="C12" s="88"/>
      <c r="D12" s="171" t="str">
        <f>IF(E11="SI SE REPORTA","¿Qué programas o proyectos del Plan de Acción están asociados al indicador? ","")</f>
        <v xml:space="preserve">¿Qué programas o proyectos del Plan de Acción están asociados al indicador? </v>
      </c>
      <c r="E12" s="1011" t="s">
        <v>2269</v>
      </c>
      <c r="F12" s="1011"/>
      <c r="G12" s="1011"/>
      <c r="H12" s="1011"/>
      <c r="I12" s="1011"/>
      <c r="J12" s="1011"/>
      <c r="K12" s="1011"/>
      <c r="L12" s="1011"/>
      <c r="M12" s="1011"/>
      <c r="N12" s="1011"/>
      <c r="O12" s="1011"/>
      <c r="P12" s="1011"/>
      <c r="Q12" s="1011"/>
      <c r="R12" s="1011"/>
    </row>
    <row r="13" spans="1:21" ht="21.95" customHeight="1" x14ac:dyDescent="0.25">
      <c r="B13" s="358"/>
      <c r="C13" s="88"/>
      <c r="D13" s="171" t="s">
        <v>635</v>
      </c>
      <c r="E13" s="1012"/>
      <c r="F13" s="1013"/>
      <c r="G13" s="1013"/>
      <c r="H13" s="1013"/>
      <c r="I13" s="1013"/>
      <c r="J13" s="1013"/>
      <c r="K13" s="1013"/>
      <c r="L13" s="1013"/>
      <c r="M13" s="1013"/>
      <c r="N13" s="1013"/>
      <c r="O13" s="1013"/>
      <c r="P13" s="1013"/>
      <c r="Q13" s="1013"/>
      <c r="R13" s="1014"/>
    </row>
    <row r="14" spans="1:21" ht="6.95" customHeight="1" thickBot="1" x14ac:dyDescent="0.3">
      <c r="B14" s="358"/>
      <c r="C14" s="88"/>
      <c r="D14" s="5"/>
      <c r="E14" s="5"/>
      <c r="F14" s="5"/>
      <c r="G14" s="5"/>
      <c r="H14" s="5"/>
      <c r="I14" s="5"/>
      <c r="J14" s="5"/>
      <c r="K14" s="5"/>
    </row>
    <row r="15" spans="1:21" ht="15" customHeight="1" thickTop="1" x14ac:dyDescent="0.25">
      <c r="B15" s="1044" t="s">
        <v>636</v>
      </c>
      <c r="C15" s="89"/>
      <c r="D15" s="956" t="s">
        <v>637</v>
      </c>
      <c r="E15" s="957"/>
      <c r="F15" s="957"/>
      <c r="G15" s="957"/>
      <c r="H15" s="957"/>
      <c r="I15" s="957"/>
      <c r="J15" s="957"/>
      <c r="K15" s="958"/>
    </row>
    <row r="16" spans="1:21" ht="15.75" thickBot="1" x14ac:dyDescent="0.3">
      <c r="B16" s="951"/>
      <c r="C16" s="92"/>
      <c r="D16" s="959" t="s">
        <v>848</v>
      </c>
      <c r="E16" s="960"/>
      <c r="F16" s="960"/>
      <c r="G16" s="960"/>
      <c r="H16" s="960"/>
      <c r="I16" s="960"/>
      <c r="J16" s="960"/>
      <c r="K16" s="961"/>
    </row>
    <row r="17" spans="2:11" ht="15.75" thickBot="1" x14ac:dyDescent="0.3">
      <c r="B17" s="951"/>
      <c r="C17" s="98" t="s">
        <v>585</v>
      </c>
      <c r="D17" s="38" t="s">
        <v>849</v>
      </c>
      <c r="E17" s="38" t="s">
        <v>587</v>
      </c>
      <c r="F17" s="38" t="s">
        <v>588</v>
      </c>
      <c r="G17" s="38" t="s">
        <v>589</v>
      </c>
      <c r="H17" s="38" t="s">
        <v>590</v>
      </c>
      <c r="I17" s="220"/>
      <c r="K17" s="21"/>
    </row>
    <row r="18" spans="2:11" ht="15.75" thickBot="1" x14ac:dyDescent="0.3">
      <c r="B18" s="951"/>
      <c r="C18" s="2" t="s">
        <v>765</v>
      </c>
      <c r="D18" s="39" t="s">
        <v>850</v>
      </c>
      <c r="E18" s="206">
        <v>9</v>
      </c>
      <c r="F18" s="206"/>
      <c r="G18" s="206"/>
      <c r="H18" s="206"/>
      <c r="I18" s="255"/>
      <c r="K18" s="21"/>
    </row>
    <row r="19" spans="2:11" ht="15.75" thickBot="1" x14ac:dyDescent="0.3">
      <c r="B19" s="951"/>
      <c r="C19" s="2" t="s">
        <v>767</v>
      </c>
      <c r="D19" s="39" t="s">
        <v>851</v>
      </c>
      <c r="E19" s="206">
        <v>9</v>
      </c>
      <c r="F19" s="206"/>
      <c r="G19" s="206"/>
      <c r="H19" s="206"/>
      <c r="I19" s="255"/>
      <c r="K19" s="21"/>
    </row>
    <row r="20" spans="2:11" ht="15.75" thickBot="1" x14ac:dyDescent="0.3">
      <c r="B20" s="951"/>
      <c r="C20" s="2" t="s">
        <v>769</v>
      </c>
      <c r="D20" s="39" t="s">
        <v>852</v>
      </c>
      <c r="E20" s="206">
        <v>1</v>
      </c>
      <c r="F20" s="206"/>
      <c r="G20" s="206"/>
      <c r="H20" s="206"/>
      <c r="I20" s="255"/>
      <c r="K20" s="21"/>
    </row>
    <row r="21" spans="2:11" ht="15.75" thickBot="1" x14ac:dyDescent="0.3">
      <c r="B21" s="951"/>
      <c r="C21" s="2" t="s">
        <v>853</v>
      </c>
      <c r="D21" s="39" t="s">
        <v>854</v>
      </c>
      <c r="E21" s="206">
        <v>1</v>
      </c>
      <c r="F21" s="206"/>
      <c r="G21" s="206"/>
      <c r="H21" s="206"/>
      <c r="I21" s="255"/>
      <c r="K21" s="21"/>
    </row>
    <row r="22" spans="2:11" ht="15.75" thickBot="1" x14ac:dyDescent="0.3">
      <c r="B22" s="951"/>
      <c r="C22" s="2" t="s">
        <v>855</v>
      </c>
      <c r="D22" s="39" t="s">
        <v>856</v>
      </c>
      <c r="E22" s="206">
        <v>1</v>
      </c>
      <c r="F22" s="206"/>
      <c r="G22" s="206"/>
      <c r="H22" s="206"/>
      <c r="I22" s="255"/>
      <c r="K22" s="21"/>
    </row>
    <row r="23" spans="2:11" ht="15.75" thickBot="1" x14ac:dyDescent="0.3">
      <c r="B23" s="951"/>
      <c r="C23" s="2" t="s">
        <v>857</v>
      </c>
      <c r="D23" s="39" t="s">
        <v>858</v>
      </c>
      <c r="E23" s="206">
        <v>1</v>
      </c>
      <c r="F23" s="206"/>
      <c r="G23" s="206"/>
      <c r="H23" s="206"/>
      <c r="I23" s="255"/>
      <c r="K23" s="21"/>
    </row>
    <row r="24" spans="2:11" ht="15.75" thickBot="1" x14ac:dyDescent="0.3">
      <c r="B24" s="951"/>
      <c r="C24" s="2" t="s">
        <v>859</v>
      </c>
      <c r="D24" s="39" t="s">
        <v>860</v>
      </c>
      <c r="E24" s="185">
        <f>IFERROR(E19/E18,"N.A.")</f>
        <v>1</v>
      </c>
      <c r="F24" s="185" t="str">
        <f>IFERROR(F19/F18,"N.A.")</f>
        <v>N.A.</v>
      </c>
      <c r="G24" s="185" t="str">
        <f>IFERROR(G19/G18,"N.A.")</f>
        <v>N.A.</v>
      </c>
      <c r="H24" s="185" t="str">
        <f>IFERROR(H19/H18,"N.A.")</f>
        <v>N.A.</v>
      </c>
      <c r="I24" s="237"/>
      <c r="K24" s="21"/>
    </row>
    <row r="25" spans="2:11" ht="15.75" thickBot="1" x14ac:dyDescent="0.3">
      <c r="B25" s="951"/>
      <c r="C25" s="2" t="s">
        <v>861</v>
      </c>
      <c r="D25" s="39" t="s">
        <v>862</v>
      </c>
      <c r="E25" s="185">
        <f>IFERROR(E21/E20,"N.A.")</f>
        <v>1</v>
      </c>
      <c r="F25" s="185" t="str">
        <f>IFERROR(F21/F20,"N.A.")</f>
        <v>N.A.</v>
      </c>
      <c r="G25" s="185" t="str">
        <f>IFERROR(G21/G20,"N.A.")</f>
        <v>N.A.</v>
      </c>
      <c r="H25" s="185" t="str">
        <f>IFERROR(H21/H20,"N.A.")</f>
        <v>N.A.</v>
      </c>
      <c r="I25" s="237"/>
      <c r="K25" s="21"/>
    </row>
    <row r="26" spans="2:11" ht="15.75" thickBot="1" x14ac:dyDescent="0.3">
      <c r="B26" s="951"/>
      <c r="C26" s="2" t="s">
        <v>863</v>
      </c>
      <c r="D26" s="39" t="s">
        <v>864</v>
      </c>
      <c r="E26" s="185">
        <f>IFERROR(E23/E22,"N.A.")</f>
        <v>1</v>
      </c>
      <c r="F26" s="185" t="str">
        <f>IFERROR(F23/F22,"N.A.")</f>
        <v>N.A.</v>
      </c>
      <c r="G26" s="185" t="str">
        <f>IFERROR(G23/G22,"N.A.")</f>
        <v>N.A.</v>
      </c>
      <c r="H26" s="185" t="str">
        <f>IFERROR(H23/H22,"N.A.")</f>
        <v>N.A.</v>
      </c>
      <c r="I26" s="237"/>
      <c r="K26" s="21"/>
    </row>
    <row r="27" spans="2:11" ht="15.75" thickBot="1" x14ac:dyDescent="0.3">
      <c r="B27" s="252"/>
      <c r="C27" s="101"/>
      <c r="D27" s="253" t="s">
        <v>865</v>
      </c>
      <c r="E27" s="185">
        <f>IFERROR(AVERAGE(E24:E26),"N.A.")</f>
        <v>1</v>
      </c>
      <c r="F27" s="185" t="str">
        <f>IFERROR(AVERAGE(F24:F26),"N.A.")</f>
        <v>N.A.</v>
      </c>
      <c r="G27" s="185" t="str">
        <f>IFERROR(AVERAGE(G24:G26),"N.A.")</f>
        <v>N.A.</v>
      </c>
      <c r="H27" s="185" t="str">
        <f>IFERROR(AVERAGE(H24:H26),"N.A.")</f>
        <v>N.A.</v>
      </c>
      <c r="I27" s="237"/>
      <c r="K27" s="21"/>
    </row>
    <row r="28" spans="2:11" x14ac:dyDescent="0.25">
      <c r="B28" s="218"/>
      <c r="C28" s="92"/>
      <c r="D28" s="962"/>
      <c r="E28" s="963"/>
      <c r="F28" s="963"/>
      <c r="G28" s="963"/>
      <c r="H28" s="963"/>
      <c r="I28" s="963"/>
      <c r="J28" s="963"/>
      <c r="K28" s="964"/>
    </row>
    <row r="29" spans="2:11" x14ac:dyDescent="0.25">
      <c r="B29" s="218"/>
      <c r="C29" s="92"/>
      <c r="D29" s="959" t="s">
        <v>866</v>
      </c>
      <c r="E29" s="960"/>
      <c r="F29" s="960"/>
      <c r="G29" s="960"/>
      <c r="H29" s="960"/>
      <c r="I29" s="960"/>
      <c r="J29" s="960"/>
      <c r="K29" s="961"/>
    </row>
    <row r="30" spans="2:11" ht="15.75" thickBot="1" x14ac:dyDescent="0.3">
      <c r="B30" s="218"/>
      <c r="C30" s="92"/>
      <c r="D30" s="953" t="s">
        <v>867</v>
      </c>
      <c r="E30" s="954"/>
      <c r="F30" s="954"/>
      <c r="G30" s="954"/>
      <c r="H30" s="954"/>
      <c r="I30" s="954"/>
      <c r="J30" s="954"/>
      <c r="K30" s="955"/>
    </row>
    <row r="31" spans="2:11" ht="24.75" thickBot="1" x14ac:dyDescent="0.3">
      <c r="B31" s="218"/>
      <c r="C31" s="98" t="s">
        <v>585</v>
      </c>
      <c r="D31" s="43" t="s">
        <v>868</v>
      </c>
      <c r="E31" s="43" t="s">
        <v>869</v>
      </c>
      <c r="F31" s="43" t="s">
        <v>870</v>
      </c>
      <c r="G31" s="43" t="s">
        <v>871</v>
      </c>
      <c r="H31" s="43" t="s">
        <v>872</v>
      </c>
      <c r="I31" s="43" t="s">
        <v>873</v>
      </c>
      <c r="J31" s="43" t="s">
        <v>593</v>
      </c>
      <c r="K31" s="114"/>
    </row>
    <row r="32" spans="2:11" s="188" customFormat="1" ht="15.75" thickBot="1" x14ac:dyDescent="0.3">
      <c r="B32" s="217"/>
      <c r="C32" s="8">
        <v>1</v>
      </c>
      <c r="D32" s="30"/>
      <c r="E32" s="160"/>
      <c r="F32" s="207"/>
      <c r="G32" s="207"/>
      <c r="H32" s="207"/>
      <c r="I32" s="207"/>
      <c r="J32" s="30"/>
      <c r="K32" s="112"/>
    </row>
    <row r="33" spans="2:11" s="188" customFormat="1" ht="15.75" thickBot="1" x14ac:dyDescent="0.3">
      <c r="B33" s="217"/>
      <c r="C33" s="8">
        <v>2</v>
      </c>
      <c r="D33" s="30"/>
      <c r="E33" s="160"/>
      <c r="F33" s="207"/>
      <c r="G33" s="207"/>
      <c r="H33" s="207"/>
      <c r="I33" s="207"/>
      <c r="J33" s="30"/>
      <c r="K33" s="112"/>
    </row>
    <row r="34" spans="2:11" s="188" customFormat="1" ht="15.75" thickBot="1" x14ac:dyDescent="0.3">
      <c r="B34" s="217"/>
      <c r="C34" s="8">
        <v>3</v>
      </c>
      <c r="D34" s="30"/>
      <c r="E34" s="160"/>
      <c r="F34" s="207"/>
      <c r="G34" s="207"/>
      <c r="H34" s="207"/>
      <c r="I34" s="207"/>
      <c r="J34" s="30"/>
      <c r="K34" s="112"/>
    </row>
    <row r="35" spans="2:11" s="188" customFormat="1" ht="15.75" thickBot="1" x14ac:dyDescent="0.3">
      <c r="B35" s="217"/>
      <c r="C35" s="8">
        <v>4</v>
      </c>
      <c r="D35" s="30"/>
      <c r="E35" s="160"/>
      <c r="F35" s="207"/>
      <c r="G35" s="207"/>
      <c r="H35" s="207"/>
      <c r="I35" s="207"/>
      <c r="J35" s="30"/>
      <c r="K35" s="112"/>
    </row>
    <row r="36" spans="2:11" s="188" customFormat="1" ht="15.75" thickBot="1" x14ac:dyDescent="0.3">
      <c r="B36" s="217"/>
      <c r="C36" s="8">
        <v>5</v>
      </c>
      <c r="D36" s="30"/>
      <c r="E36" s="160"/>
      <c r="F36" s="207"/>
      <c r="G36" s="207"/>
      <c r="H36" s="207"/>
      <c r="I36" s="207"/>
      <c r="J36" s="30"/>
      <c r="K36" s="112"/>
    </row>
    <row r="37" spans="2:11" s="188" customFormat="1" ht="15.75" thickBot="1" x14ac:dyDescent="0.3">
      <c r="B37" s="217"/>
      <c r="C37" s="8">
        <v>6</v>
      </c>
      <c r="D37" s="30"/>
      <c r="E37" s="160"/>
      <c r="F37" s="207"/>
      <c r="G37" s="207"/>
      <c r="H37" s="207"/>
      <c r="I37" s="207"/>
      <c r="J37" s="30"/>
      <c r="K37" s="112"/>
    </row>
    <row r="38" spans="2:11" s="188" customFormat="1" ht="15.75" thickBot="1" x14ac:dyDescent="0.3">
      <c r="B38" s="217"/>
      <c r="C38" s="8">
        <v>7</v>
      </c>
      <c r="D38" s="30"/>
      <c r="E38" s="160"/>
      <c r="F38" s="207"/>
      <c r="G38" s="207"/>
      <c r="H38" s="207"/>
      <c r="I38" s="207"/>
      <c r="J38" s="30"/>
      <c r="K38" s="112"/>
    </row>
    <row r="39" spans="2:11" s="188" customFormat="1" ht="15.75" thickBot="1" x14ac:dyDescent="0.3">
      <c r="B39" s="217"/>
      <c r="C39" s="8">
        <v>8</v>
      </c>
      <c r="D39" s="30"/>
      <c r="E39" s="160"/>
      <c r="F39" s="207"/>
      <c r="G39" s="207"/>
      <c r="H39" s="207"/>
      <c r="I39" s="207"/>
      <c r="J39" s="30"/>
      <c r="K39" s="112"/>
    </row>
    <row r="40" spans="2:11" s="188" customFormat="1" ht="15.75" thickBot="1" x14ac:dyDescent="0.3">
      <c r="B40" s="217"/>
      <c r="C40" s="8">
        <v>9</v>
      </c>
      <c r="D40" s="30"/>
      <c r="E40" s="160"/>
      <c r="F40" s="207"/>
      <c r="G40" s="207"/>
      <c r="H40" s="207"/>
      <c r="I40" s="207"/>
      <c r="J40" s="30"/>
      <c r="K40" s="112"/>
    </row>
    <row r="41" spans="2:11" s="188" customFormat="1" ht="15.75" thickBot="1" x14ac:dyDescent="0.3">
      <c r="B41" s="217"/>
      <c r="C41" s="8">
        <v>10</v>
      </c>
      <c r="D41" s="30"/>
      <c r="E41" s="160"/>
      <c r="F41" s="207"/>
      <c r="G41" s="207"/>
      <c r="H41" s="207"/>
      <c r="I41" s="207"/>
      <c r="J41" s="30"/>
      <c r="K41" s="112"/>
    </row>
    <row r="42" spans="2:11" s="188" customFormat="1" ht="15.75" thickBot="1" x14ac:dyDescent="0.3">
      <c r="B42" s="217"/>
      <c r="C42" s="8">
        <v>11</v>
      </c>
      <c r="D42" s="30"/>
      <c r="E42" s="160"/>
      <c r="F42" s="207"/>
      <c r="G42" s="207"/>
      <c r="H42" s="207"/>
      <c r="I42" s="207"/>
      <c r="J42" s="30"/>
      <c r="K42" s="112"/>
    </row>
    <row r="43" spans="2:11" s="188" customFormat="1" ht="15.75" thickBot="1" x14ac:dyDescent="0.3">
      <c r="B43" s="217"/>
      <c r="C43" s="8">
        <v>12</v>
      </c>
      <c r="D43" s="30"/>
      <c r="E43" s="160"/>
      <c r="F43" s="207"/>
      <c r="G43" s="207"/>
      <c r="H43" s="207"/>
      <c r="I43" s="207"/>
      <c r="J43" s="30"/>
      <c r="K43" s="112"/>
    </row>
    <row r="44" spans="2:11" s="188" customFormat="1" ht="15.75" thickBot="1" x14ac:dyDescent="0.3">
      <c r="B44" s="217"/>
      <c r="C44" s="8">
        <v>13</v>
      </c>
      <c r="D44" s="30"/>
      <c r="E44" s="160"/>
      <c r="F44" s="207"/>
      <c r="G44" s="207"/>
      <c r="H44" s="207"/>
      <c r="I44" s="207"/>
      <c r="J44" s="30"/>
      <c r="K44" s="112"/>
    </row>
    <row r="45" spans="2:11" s="188" customFormat="1" ht="15.75" thickBot="1" x14ac:dyDescent="0.3">
      <c r="B45" s="217"/>
      <c r="C45" s="8">
        <v>14</v>
      </c>
      <c r="D45" s="30"/>
      <c r="E45" s="160"/>
      <c r="F45" s="207"/>
      <c r="G45" s="207"/>
      <c r="H45" s="207"/>
      <c r="I45" s="207"/>
      <c r="J45" s="30"/>
      <c r="K45" s="112"/>
    </row>
    <row r="46" spans="2:11" s="188" customFormat="1" ht="15.75" thickBot="1" x14ac:dyDescent="0.3">
      <c r="B46" s="217"/>
      <c r="C46" s="8">
        <v>15</v>
      </c>
      <c r="D46" s="30"/>
      <c r="E46" s="160"/>
      <c r="F46" s="207"/>
      <c r="G46" s="207"/>
      <c r="H46" s="207"/>
      <c r="I46" s="207"/>
      <c r="J46" s="30"/>
      <c r="K46" s="112"/>
    </row>
    <row r="47" spans="2:11" s="188" customFormat="1" ht="15.75" thickBot="1" x14ac:dyDescent="0.3">
      <c r="B47" s="217"/>
      <c r="C47" s="8">
        <v>16</v>
      </c>
      <c r="D47" s="30"/>
      <c r="E47" s="160"/>
      <c r="F47" s="207"/>
      <c r="G47" s="207"/>
      <c r="H47" s="207"/>
      <c r="I47" s="207"/>
      <c r="J47" s="30"/>
      <c r="K47" s="112"/>
    </row>
    <row r="48" spans="2:11" s="188" customFormat="1" ht="15.75" thickBot="1" x14ac:dyDescent="0.3">
      <c r="B48" s="217"/>
      <c r="C48" s="8">
        <v>17</v>
      </c>
      <c r="D48" s="30"/>
      <c r="E48" s="160"/>
      <c r="F48" s="207"/>
      <c r="G48" s="207"/>
      <c r="H48" s="207"/>
      <c r="I48" s="207"/>
      <c r="J48" s="30"/>
      <c r="K48" s="112"/>
    </row>
    <row r="49" spans="2:11" s="188" customFormat="1" ht="15.75" thickBot="1" x14ac:dyDescent="0.3">
      <c r="B49" s="217"/>
      <c r="C49" s="8">
        <v>18</v>
      </c>
      <c r="D49" s="30"/>
      <c r="E49" s="160"/>
      <c r="F49" s="207"/>
      <c r="G49" s="207"/>
      <c r="H49" s="207"/>
      <c r="I49" s="207"/>
      <c r="J49" s="30"/>
      <c r="K49" s="112"/>
    </row>
    <row r="50" spans="2:11" s="188" customFormat="1" ht="15.75" thickBot="1" x14ac:dyDescent="0.3">
      <c r="B50" s="217"/>
      <c r="C50" s="8">
        <v>19</v>
      </c>
      <c r="D50" s="30"/>
      <c r="E50" s="160"/>
      <c r="F50" s="207"/>
      <c r="G50" s="207"/>
      <c r="H50" s="207"/>
      <c r="I50" s="207"/>
      <c r="J50" s="30"/>
      <c r="K50" s="112"/>
    </row>
    <row r="51" spans="2:11" ht="15.75" thickBot="1" x14ac:dyDescent="0.3">
      <c r="B51" s="218"/>
      <c r="C51" s="2"/>
      <c r="D51" s="40" t="s">
        <v>764</v>
      </c>
      <c r="E51" s="40"/>
      <c r="F51" s="136">
        <f>SUM(F32:F50)</f>
        <v>0</v>
      </c>
      <c r="G51" s="136">
        <f>SUM(G32:G50)</f>
        <v>0</v>
      </c>
      <c r="H51" s="136">
        <f>SUM(H32:H50)</f>
        <v>0</v>
      </c>
      <c r="I51" s="136">
        <f>SUM(I32:I50)</f>
        <v>0</v>
      </c>
      <c r="J51" s="30"/>
      <c r="K51" s="116"/>
    </row>
    <row r="52" spans="2:11" ht="15.75" thickBot="1" x14ac:dyDescent="0.3">
      <c r="B52" s="47"/>
      <c r="C52" s="93"/>
      <c r="D52" s="983" t="s">
        <v>874</v>
      </c>
      <c r="E52" s="984"/>
      <c r="F52" s="984"/>
      <c r="G52" s="984"/>
      <c r="H52" s="984"/>
      <c r="I52" s="984"/>
      <c r="J52" s="984"/>
      <c r="K52" s="985"/>
    </row>
    <row r="53" spans="2:11" ht="36" customHeight="1" thickBot="1" x14ac:dyDescent="0.3">
      <c r="B53" s="72" t="s">
        <v>671</v>
      </c>
      <c r="C53" s="107"/>
      <c r="D53" s="983" t="s">
        <v>875</v>
      </c>
      <c r="E53" s="984"/>
      <c r="F53" s="984"/>
      <c r="G53" s="984"/>
      <c r="H53" s="984"/>
      <c r="I53" s="984"/>
      <c r="J53" s="984"/>
      <c r="K53" s="985"/>
    </row>
    <row r="54" spans="2:11" ht="23.25" thickBot="1" x14ac:dyDescent="0.3">
      <c r="B54" s="72" t="s">
        <v>673</v>
      </c>
      <c r="C54" s="107"/>
      <c r="D54" s="983" t="s">
        <v>876</v>
      </c>
      <c r="E54" s="984"/>
      <c r="F54" s="984"/>
      <c r="G54" s="984"/>
      <c r="H54" s="984"/>
      <c r="I54" s="984"/>
      <c r="J54" s="984"/>
      <c r="K54" s="985"/>
    </row>
    <row r="55" spans="2:11" ht="15.75" thickBot="1" x14ac:dyDescent="0.3">
      <c r="B55" s="1"/>
      <c r="C55" s="76"/>
      <c r="D55" s="5"/>
      <c r="E55" s="5"/>
      <c r="F55" s="5"/>
      <c r="G55" s="5"/>
      <c r="H55" s="5"/>
      <c r="I55" s="5"/>
      <c r="J55" s="5"/>
      <c r="K55" s="5"/>
    </row>
    <row r="56" spans="2:11" ht="24" customHeight="1" thickBot="1" x14ac:dyDescent="0.3">
      <c r="B56" s="971" t="s">
        <v>675</v>
      </c>
      <c r="C56" s="972"/>
      <c r="D56" s="972"/>
      <c r="E56" s="973"/>
      <c r="F56" s="5"/>
      <c r="G56" s="5"/>
      <c r="H56" s="5"/>
      <c r="I56" s="5"/>
      <c r="J56" s="5"/>
      <c r="K56" s="5"/>
    </row>
    <row r="57" spans="2:11" ht="48.75" thickBot="1" x14ac:dyDescent="0.3">
      <c r="B57" s="974">
        <v>1</v>
      </c>
      <c r="C57" s="94"/>
      <c r="D57" s="48" t="s">
        <v>676</v>
      </c>
      <c r="E57" s="337" t="s">
        <v>2301</v>
      </c>
      <c r="F57" s="5"/>
      <c r="G57" s="5"/>
      <c r="H57" s="5"/>
      <c r="I57" s="5"/>
      <c r="J57" s="5"/>
      <c r="K57" s="5"/>
    </row>
    <row r="58" spans="2:11" ht="48.75" thickBot="1" x14ac:dyDescent="0.3">
      <c r="B58" s="975"/>
      <c r="C58" s="94"/>
      <c r="D58" s="40" t="s">
        <v>525</v>
      </c>
      <c r="E58" s="337" t="s">
        <v>2311</v>
      </c>
      <c r="F58" s="5"/>
      <c r="G58" s="5"/>
      <c r="H58" s="5"/>
      <c r="I58" s="5"/>
      <c r="J58" s="5"/>
      <c r="K58" s="5"/>
    </row>
    <row r="59" spans="2:11" ht="36.75" thickBot="1" x14ac:dyDescent="0.3">
      <c r="B59" s="975"/>
      <c r="C59" s="94"/>
      <c r="D59" s="40" t="s">
        <v>677</v>
      </c>
      <c r="E59" s="337" t="s">
        <v>2303</v>
      </c>
      <c r="F59" s="5"/>
      <c r="G59" s="5"/>
      <c r="H59" s="5"/>
      <c r="I59" s="5"/>
      <c r="J59" s="5"/>
      <c r="K59" s="5"/>
    </row>
    <row r="60" spans="2:11" ht="15.75" thickBot="1" x14ac:dyDescent="0.3">
      <c r="B60" s="975"/>
      <c r="C60" s="94"/>
      <c r="D60" s="40" t="s">
        <v>527</v>
      </c>
      <c r="E60" s="337" t="s">
        <v>2304</v>
      </c>
      <c r="F60" s="5"/>
      <c r="G60" s="5"/>
      <c r="H60" s="5"/>
      <c r="I60" s="5"/>
      <c r="J60" s="5"/>
      <c r="K60" s="5"/>
    </row>
    <row r="61" spans="2:11" ht="60.75" thickBot="1" x14ac:dyDescent="0.3">
      <c r="B61" s="975"/>
      <c r="C61" s="94"/>
      <c r="D61" s="40" t="s">
        <v>529</v>
      </c>
      <c r="E61" s="766" t="s">
        <v>2309</v>
      </c>
      <c r="F61" s="5"/>
      <c r="G61" s="5"/>
      <c r="H61" s="5"/>
      <c r="I61" s="5"/>
      <c r="J61" s="5"/>
      <c r="K61" s="5"/>
    </row>
    <row r="62" spans="2:11" ht="15.75" thickBot="1" x14ac:dyDescent="0.3">
      <c r="B62" s="975"/>
      <c r="C62" s="94"/>
      <c r="D62" s="40" t="s">
        <v>531</v>
      </c>
      <c r="E62" s="337">
        <v>5748960</v>
      </c>
      <c r="F62" s="5"/>
      <c r="G62" s="5"/>
      <c r="H62" s="5"/>
      <c r="I62" s="5"/>
      <c r="J62" s="5"/>
      <c r="K62" s="5"/>
    </row>
    <row r="63" spans="2:11" ht="60.75" thickBot="1" x14ac:dyDescent="0.3">
      <c r="B63" s="976"/>
      <c r="C63" s="2"/>
      <c r="D63" s="40" t="s">
        <v>678</v>
      </c>
      <c r="E63" s="337" t="s">
        <v>2312</v>
      </c>
      <c r="F63" s="5"/>
      <c r="G63" s="5"/>
      <c r="H63" s="5"/>
      <c r="I63" s="5"/>
      <c r="J63" s="5"/>
      <c r="K63" s="5"/>
    </row>
    <row r="64" spans="2:11" ht="15.75" thickBot="1" x14ac:dyDescent="0.3">
      <c r="B64" s="1"/>
      <c r="C64" s="76"/>
      <c r="D64" s="5"/>
      <c r="E64" s="5"/>
      <c r="F64" s="5"/>
      <c r="G64" s="5"/>
      <c r="H64" s="5"/>
      <c r="I64" s="5"/>
      <c r="J64" s="5"/>
      <c r="K64" s="5"/>
    </row>
    <row r="65" spans="2:11" ht="15.75" thickBot="1" x14ac:dyDescent="0.3">
      <c r="B65" s="971" t="s">
        <v>679</v>
      </c>
      <c r="C65" s="972"/>
      <c r="D65" s="972"/>
      <c r="E65" s="973"/>
      <c r="F65" s="5"/>
      <c r="G65" s="5"/>
      <c r="H65" s="5"/>
      <c r="I65" s="5"/>
      <c r="J65" s="5"/>
      <c r="K65" s="5"/>
    </row>
    <row r="66" spans="2:11" ht="15.75" thickBot="1" x14ac:dyDescent="0.3">
      <c r="B66" s="974">
        <v>1</v>
      </c>
      <c r="C66" s="94"/>
      <c r="D66" s="48" t="s">
        <v>676</v>
      </c>
      <c r="E66" s="219" t="s">
        <v>680</v>
      </c>
      <c r="F66" s="5"/>
      <c r="G66" s="5"/>
      <c r="H66" s="5"/>
      <c r="I66" s="5"/>
      <c r="J66" s="5"/>
      <c r="K66" s="5"/>
    </row>
    <row r="67" spans="2:11" ht="15.75" thickBot="1" x14ac:dyDescent="0.3">
      <c r="B67" s="975"/>
      <c r="C67" s="94"/>
      <c r="D67" s="40" t="s">
        <v>525</v>
      </c>
      <c r="E67" s="219" t="s">
        <v>681</v>
      </c>
      <c r="F67" s="5"/>
      <c r="G67" s="5"/>
      <c r="H67" s="5"/>
      <c r="I67" s="5"/>
      <c r="J67" s="5"/>
      <c r="K67" s="5"/>
    </row>
    <row r="68" spans="2:11" ht="15.75" thickBot="1" x14ac:dyDescent="0.3">
      <c r="B68" s="975"/>
      <c r="C68" s="94"/>
      <c r="D68" s="40" t="s">
        <v>677</v>
      </c>
      <c r="E68" s="236"/>
      <c r="F68" s="5"/>
      <c r="G68" s="5"/>
      <c r="H68" s="5"/>
      <c r="I68" s="5"/>
      <c r="J68" s="5"/>
      <c r="K68" s="5"/>
    </row>
    <row r="69" spans="2:11" ht="15.75" thickBot="1" x14ac:dyDescent="0.3">
      <c r="B69" s="975"/>
      <c r="C69" s="94"/>
      <c r="D69" s="40" t="s">
        <v>527</v>
      </c>
      <c r="E69" s="236"/>
      <c r="F69" s="5"/>
      <c r="G69" s="5"/>
      <c r="H69" s="5"/>
      <c r="I69" s="5"/>
      <c r="J69" s="5"/>
      <c r="K69" s="5"/>
    </row>
    <row r="70" spans="2:11" ht="15.75" thickBot="1" x14ac:dyDescent="0.3">
      <c r="B70" s="975"/>
      <c r="C70" s="94"/>
      <c r="D70" s="40" t="s">
        <v>529</v>
      </c>
      <c r="E70" s="236"/>
      <c r="F70" s="5"/>
      <c r="G70" s="5"/>
      <c r="H70" s="5"/>
      <c r="I70" s="5"/>
      <c r="J70" s="5"/>
      <c r="K70" s="5"/>
    </row>
    <row r="71" spans="2:11" ht="15.75" thickBot="1" x14ac:dyDescent="0.3">
      <c r="B71" s="975"/>
      <c r="C71" s="94"/>
      <c r="D71" s="40" t="s">
        <v>531</v>
      </c>
      <c r="E71" s="236"/>
      <c r="F71" s="5"/>
      <c r="G71" s="5"/>
      <c r="H71" s="5"/>
      <c r="I71" s="5"/>
      <c r="J71" s="5"/>
      <c r="K71" s="5"/>
    </row>
    <row r="72" spans="2:11" ht="15.75" thickBot="1" x14ac:dyDescent="0.3">
      <c r="B72" s="976"/>
      <c r="C72" s="2"/>
      <c r="D72" s="40" t="s">
        <v>678</v>
      </c>
      <c r="E72" s="236"/>
      <c r="F72" s="5"/>
      <c r="G72" s="5"/>
      <c r="H72" s="5"/>
      <c r="I72" s="5"/>
      <c r="J72" s="5"/>
      <c r="K72" s="5"/>
    </row>
    <row r="73" spans="2:11" ht="15.75" thickBot="1" x14ac:dyDescent="0.3">
      <c r="B73" s="1"/>
      <c r="C73" s="76"/>
      <c r="D73" s="5"/>
      <c r="E73" s="5"/>
      <c r="F73" s="5"/>
      <c r="G73" s="5"/>
      <c r="H73" s="5"/>
      <c r="I73" s="5"/>
      <c r="J73" s="5"/>
      <c r="K73" s="5"/>
    </row>
    <row r="74" spans="2:11" ht="15.75" thickBot="1" x14ac:dyDescent="0.3">
      <c r="B74" s="971" t="s">
        <v>682</v>
      </c>
      <c r="C74" s="972"/>
      <c r="D74" s="972"/>
      <c r="E74" s="972"/>
      <c r="F74" s="973"/>
      <c r="G74" s="5"/>
      <c r="H74" s="5"/>
      <c r="I74" s="5"/>
      <c r="J74" s="5"/>
      <c r="K74" s="5"/>
    </row>
    <row r="75" spans="2:11" ht="24.75" thickBot="1" x14ac:dyDescent="0.3">
      <c r="B75" s="47" t="s">
        <v>683</v>
      </c>
      <c r="C75" s="40" t="s">
        <v>684</v>
      </c>
      <c r="D75" s="40" t="s">
        <v>685</v>
      </c>
      <c r="E75" s="40" t="s">
        <v>686</v>
      </c>
      <c r="F75" s="5"/>
      <c r="G75" s="5"/>
      <c r="H75" s="5"/>
      <c r="I75" s="5"/>
      <c r="J75" s="5"/>
    </row>
    <row r="76" spans="2:11" ht="96.75" thickBot="1" x14ac:dyDescent="0.3">
      <c r="B76" s="49">
        <v>42401</v>
      </c>
      <c r="C76" s="40">
        <v>0.01</v>
      </c>
      <c r="D76" s="68" t="s">
        <v>877</v>
      </c>
      <c r="E76" s="40"/>
      <c r="F76" s="5"/>
      <c r="G76" s="5"/>
      <c r="H76" s="5"/>
      <c r="I76" s="5"/>
      <c r="J76" s="5"/>
    </row>
    <row r="77" spans="2:11" ht="15.75" thickBot="1" x14ac:dyDescent="0.3">
      <c r="B77" s="1"/>
      <c r="C77" s="76"/>
      <c r="D77" s="5"/>
      <c r="E77" s="5"/>
      <c r="F77" s="5"/>
      <c r="G77" s="5"/>
      <c r="H77" s="5"/>
      <c r="I77" s="5"/>
      <c r="J77" s="5"/>
      <c r="K77" s="5"/>
    </row>
    <row r="78" spans="2:11" ht="15.75" thickBot="1" x14ac:dyDescent="0.3">
      <c r="B78" s="4" t="s">
        <v>593</v>
      </c>
      <c r="C78" s="96"/>
      <c r="D78" s="5"/>
      <c r="E78" s="5"/>
      <c r="F78" s="5"/>
      <c r="G78" s="5"/>
      <c r="H78" s="5"/>
      <c r="I78" s="5"/>
      <c r="J78" s="5"/>
      <c r="K78" s="5"/>
    </row>
    <row r="79" spans="2:11" x14ac:dyDescent="0.25">
      <c r="B79" s="1037"/>
      <c r="C79" s="1038"/>
      <c r="D79" s="1038"/>
      <c r="E79" s="1038"/>
      <c r="F79" s="1038"/>
      <c r="G79" s="1038"/>
      <c r="H79" s="1038"/>
      <c r="I79" s="1038"/>
      <c r="J79" s="1038"/>
      <c r="K79" s="5"/>
    </row>
    <row r="80" spans="2:11" ht="15.75" thickBot="1" x14ac:dyDescent="0.3">
      <c r="B80" s="1037"/>
      <c r="C80" s="1038"/>
      <c r="D80" s="1038"/>
      <c r="E80" s="1038"/>
      <c r="F80" s="1038"/>
      <c r="G80" s="1038"/>
      <c r="H80" s="1038"/>
      <c r="I80" s="1038"/>
      <c r="J80" s="1038"/>
      <c r="K80" s="5"/>
    </row>
    <row r="81" spans="2:11" ht="15.75" thickBot="1" x14ac:dyDescent="0.3">
      <c r="B81" s="971" t="s">
        <v>688</v>
      </c>
      <c r="C81" s="972"/>
      <c r="D81" s="973"/>
      <c r="E81" s="5"/>
      <c r="F81" s="5"/>
      <c r="G81" s="5"/>
      <c r="H81" s="5"/>
      <c r="I81" s="5"/>
      <c r="J81" s="5"/>
      <c r="K81" s="5"/>
    </row>
    <row r="82" spans="2:11" ht="120.75" thickBot="1" x14ac:dyDescent="0.3">
      <c r="B82" s="47" t="s">
        <v>689</v>
      </c>
      <c r="C82" s="2"/>
      <c r="D82" s="40" t="s">
        <v>878</v>
      </c>
      <c r="E82" s="5"/>
      <c r="F82" s="5"/>
      <c r="G82" s="5"/>
      <c r="H82" s="5"/>
      <c r="I82" s="5"/>
      <c r="J82" s="5"/>
      <c r="K82" s="5"/>
    </row>
    <row r="83" spans="2:11" x14ac:dyDescent="0.25">
      <c r="B83" s="974" t="s">
        <v>691</v>
      </c>
      <c r="C83" s="94"/>
      <c r="D83" s="53" t="s">
        <v>692</v>
      </c>
      <c r="E83" s="5"/>
      <c r="F83" s="5"/>
      <c r="G83" s="5"/>
      <c r="H83" s="5"/>
      <c r="I83" s="5"/>
      <c r="J83" s="5"/>
      <c r="K83" s="5"/>
    </row>
    <row r="84" spans="2:11" ht="72" x14ac:dyDescent="0.25">
      <c r="B84" s="975"/>
      <c r="C84" s="94"/>
      <c r="D84" s="46" t="s">
        <v>879</v>
      </c>
      <c r="E84" s="5"/>
      <c r="F84" s="5"/>
      <c r="G84" s="5"/>
      <c r="H84" s="5"/>
      <c r="I84" s="5"/>
      <c r="J84" s="5"/>
      <c r="K84" s="5"/>
    </row>
    <row r="85" spans="2:11" ht="48" x14ac:dyDescent="0.25">
      <c r="B85" s="975"/>
      <c r="C85" s="94"/>
      <c r="D85" s="46" t="s">
        <v>880</v>
      </c>
      <c r="E85" s="5"/>
      <c r="F85" s="5"/>
      <c r="G85" s="5"/>
      <c r="H85" s="5"/>
      <c r="I85" s="5"/>
      <c r="J85" s="5"/>
      <c r="K85" s="5"/>
    </row>
    <row r="86" spans="2:11" x14ac:dyDescent="0.25">
      <c r="B86" s="975"/>
      <c r="C86" s="94"/>
      <c r="D86" s="53" t="s">
        <v>881</v>
      </c>
      <c r="E86" s="5"/>
      <c r="F86" s="5"/>
      <c r="G86" s="5"/>
      <c r="H86" s="5"/>
      <c r="I86" s="5"/>
      <c r="J86" s="5"/>
      <c r="K86" s="5"/>
    </row>
    <row r="87" spans="2:11" x14ac:dyDescent="0.25">
      <c r="B87" s="975"/>
      <c r="C87" s="94"/>
      <c r="D87" s="46" t="s">
        <v>696</v>
      </c>
      <c r="E87" s="5"/>
      <c r="F87" s="5"/>
      <c r="G87" s="5"/>
      <c r="H87" s="5"/>
      <c r="I87" s="5"/>
      <c r="J87" s="5"/>
      <c r="K87" s="5"/>
    </row>
    <row r="88" spans="2:11" x14ac:dyDescent="0.25">
      <c r="B88" s="975"/>
      <c r="C88" s="94"/>
      <c r="D88" s="46" t="s">
        <v>800</v>
      </c>
      <c r="E88" s="5"/>
      <c r="F88" s="5"/>
      <c r="G88" s="5"/>
      <c r="H88" s="5"/>
      <c r="I88" s="5"/>
      <c r="J88" s="5"/>
      <c r="K88" s="5"/>
    </row>
    <row r="89" spans="2:11" ht="15.75" thickBot="1" x14ac:dyDescent="0.3">
      <c r="B89" s="976"/>
      <c r="C89" s="2"/>
      <c r="D89" s="40" t="s">
        <v>882</v>
      </c>
      <c r="E89" s="5"/>
      <c r="F89" s="5"/>
      <c r="G89" s="5"/>
      <c r="H89" s="5"/>
      <c r="I89" s="5"/>
      <c r="J89" s="5"/>
      <c r="K89" s="5"/>
    </row>
    <row r="90" spans="2:11" ht="24.75" thickBot="1" x14ac:dyDescent="0.3">
      <c r="B90" s="47" t="s">
        <v>704</v>
      </c>
      <c r="C90" s="2"/>
      <c r="D90" s="40"/>
      <c r="E90" s="5"/>
      <c r="F90" s="5"/>
      <c r="G90" s="5"/>
      <c r="H90" s="5"/>
      <c r="I90" s="5"/>
      <c r="J90" s="5"/>
      <c r="K90" s="5"/>
    </row>
    <row r="91" spans="2:11" ht="156" x14ac:dyDescent="0.25">
      <c r="B91" s="974" t="s">
        <v>705</v>
      </c>
      <c r="C91" s="94"/>
      <c r="D91" s="46" t="s">
        <v>883</v>
      </c>
      <c r="E91" s="5"/>
      <c r="F91" s="5"/>
      <c r="G91" s="5"/>
      <c r="H91" s="5"/>
      <c r="I91" s="5"/>
      <c r="J91" s="5"/>
      <c r="K91" s="5"/>
    </row>
    <row r="92" spans="2:11" ht="132.75" thickBot="1" x14ac:dyDescent="0.3">
      <c r="B92" s="976"/>
      <c r="C92" s="2"/>
      <c r="D92" s="40" t="s">
        <v>884</v>
      </c>
      <c r="E92" s="5"/>
      <c r="F92" s="5"/>
      <c r="G92" s="5"/>
      <c r="H92" s="5"/>
      <c r="I92" s="5"/>
      <c r="J92" s="5"/>
      <c r="K92" s="5"/>
    </row>
    <row r="93" spans="2:11" ht="29.45" customHeight="1" x14ac:dyDescent="0.25">
      <c r="B93" s="974" t="s">
        <v>722</v>
      </c>
      <c r="C93" s="94"/>
      <c r="D93" s="46" t="s">
        <v>723</v>
      </c>
      <c r="E93" s="5"/>
      <c r="F93" s="5"/>
      <c r="G93" s="5"/>
      <c r="H93" s="5"/>
      <c r="I93" s="5"/>
      <c r="J93" s="5"/>
      <c r="K93" s="5"/>
    </row>
    <row r="94" spans="2:11" ht="73.5" x14ac:dyDescent="0.25">
      <c r="B94" s="975"/>
      <c r="C94" s="94"/>
      <c r="D94" s="46" t="s">
        <v>885</v>
      </c>
      <c r="E94" s="5"/>
      <c r="F94" s="5"/>
      <c r="G94" s="5"/>
      <c r="H94" s="5"/>
      <c r="I94" s="5"/>
      <c r="J94" s="5"/>
      <c r="K94" s="5"/>
    </row>
    <row r="95" spans="2:11" ht="37.5" x14ac:dyDescent="0.25">
      <c r="B95" s="975"/>
      <c r="C95" s="94"/>
      <c r="D95" s="46" t="s">
        <v>886</v>
      </c>
      <c r="E95" s="5"/>
      <c r="F95" s="5"/>
      <c r="G95" s="5"/>
      <c r="H95" s="5"/>
      <c r="I95" s="5"/>
      <c r="J95" s="5"/>
      <c r="K95" s="5"/>
    </row>
    <row r="96" spans="2:11" ht="37.5" x14ac:dyDescent="0.25">
      <c r="B96" s="975"/>
      <c r="C96" s="94"/>
      <c r="D96" s="46" t="s">
        <v>887</v>
      </c>
      <c r="E96" s="5"/>
      <c r="F96" s="5"/>
      <c r="G96" s="5"/>
      <c r="H96" s="5"/>
      <c r="I96" s="5"/>
      <c r="J96" s="5"/>
      <c r="K96" s="5"/>
    </row>
    <row r="97" spans="2:11" ht="37.5" x14ac:dyDescent="0.25">
      <c r="B97" s="975"/>
      <c r="C97" s="94"/>
      <c r="D97" s="46" t="s">
        <v>888</v>
      </c>
      <c r="E97" s="5"/>
      <c r="F97" s="5"/>
      <c r="G97" s="5"/>
      <c r="H97" s="5"/>
      <c r="I97" s="5"/>
      <c r="J97" s="5"/>
      <c r="K97" s="5"/>
    </row>
    <row r="98" spans="2:11" x14ac:dyDescent="0.25">
      <c r="B98" s="975"/>
      <c r="C98" s="94"/>
      <c r="D98" s="46" t="s">
        <v>889</v>
      </c>
      <c r="E98" s="5"/>
      <c r="F98" s="5"/>
      <c r="G98" s="5"/>
      <c r="H98" s="5"/>
      <c r="I98" s="5"/>
      <c r="J98" s="5"/>
      <c r="K98" s="5"/>
    </row>
    <row r="99" spans="2:11" x14ac:dyDescent="0.25">
      <c r="B99" s="975"/>
      <c r="C99" s="94"/>
      <c r="D99" s="46" t="s">
        <v>890</v>
      </c>
      <c r="E99" s="5"/>
      <c r="F99" s="5"/>
      <c r="G99" s="5"/>
      <c r="H99" s="5"/>
      <c r="I99" s="5"/>
      <c r="J99" s="5"/>
      <c r="K99" s="5"/>
    </row>
    <row r="100" spans="2:11" x14ac:dyDescent="0.25">
      <c r="B100" s="975"/>
      <c r="C100" s="94"/>
      <c r="D100" s="46" t="s">
        <v>891</v>
      </c>
      <c r="E100" s="5"/>
      <c r="F100" s="5"/>
      <c r="G100" s="5"/>
      <c r="H100" s="5"/>
      <c r="I100" s="5"/>
      <c r="J100" s="5"/>
      <c r="K100" s="5"/>
    </row>
    <row r="101" spans="2:11" x14ac:dyDescent="0.25">
      <c r="B101" s="975"/>
      <c r="C101" s="94"/>
      <c r="D101" s="46" t="s">
        <v>731</v>
      </c>
      <c r="E101" s="5"/>
      <c r="F101" s="5"/>
      <c r="G101" s="5"/>
      <c r="H101" s="5"/>
      <c r="I101" s="5"/>
      <c r="J101" s="5"/>
      <c r="K101" s="5"/>
    </row>
    <row r="102" spans="2:11" ht="84" x14ac:dyDescent="0.25">
      <c r="B102" s="975"/>
      <c r="C102" s="94"/>
      <c r="D102" s="54" t="s">
        <v>892</v>
      </c>
      <c r="E102" s="5"/>
      <c r="F102" s="5"/>
      <c r="G102" s="5"/>
      <c r="H102" s="5"/>
      <c r="I102" s="5"/>
      <c r="J102" s="5"/>
      <c r="K102" s="5"/>
    </row>
    <row r="103" spans="2:11" ht="24" x14ac:dyDescent="0.25">
      <c r="B103" s="975"/>
      <c r="C103" s="94"/>
      <c r="D103" s="53" t="s">
        <v>893</v>
      </c>
      <c r="E103" s="5"/>
      <c r="F103" s="5"/>
      <c r="G103" s="5"/>
      <c r="H103" s="5"/>
      <c r="I103" s="5"/>
      <c r="J103" s="5"/>
      <c r="K103" s="5"/>
    </row>
    <row r="104" spans="2:11" x14ac:dyDescent="0.25">
      <c r="B104" s="975"/>
      <c r="C104" s="94"/>
      <c r="D104" s="16"/>
      <c r="E104" s="5"/>
      <c r="F104" s="5"/>
      <c r="G104" s="5"/>
      <c r="H104" s="5"/>
      <c r="I104" s="5"/>
      <c r="J104" s="5"/>
      <c r="K104" s="5"/>
    </row>
    <row r="105" spans="2:11" x14ac:dyDescent="0.25">
      <c r="B105" s="975"/>
      <c r="C105" s="94"/>
      <c r="D105" s="46" t="s">
        <v>723</v>
      </c>
      <c r="E105" s="5"/>
      <c r="F105" s="5"/>
      <c r="G105" s="5"/>
      <c r="H105" s="5"/>
      <c r="I105" s="5"/>
      <c r="J105" s="5"/>
      <c r="K105" s="5"/>
    </row>
    <row r="106" spans="2:11" ht="37.5" x14ac:dyDescent="0.25">
      <c r="B106" s="975"/>
      <c r="C106" s="94"/>
      <c r="D106" s="46" t="s">
        <v>886</v>
      </c>
      <c r="E106" s="5"/>
      <c r="F106" s="5"/>
      <c r="G106" s="5"/>
      <c r="H106" s="5"/>
      <c r="I106" s="5"/>
      <c r="J106" s="5"/>
      <c r="K106" s="5"/>
    </row>
    <row r="107" spans="2:11" ht="25.5" x14ac:dyDescent="0.25">
      <c r="B107" s="975"/>
      <c r="C107" s="94"/>
      <c r="D107" s="46" t="s">
        <v>894</v>
      </c>
      <c r="E107" s="5"/>
      <c r="F107" s="5"/>
      <c r="G107" s="5"/>
      <c r="H107" s="5"/>
      <c r="I107" s="5"/>
      <c r="J107" s="5"/>
      <c r="K107" s="5"/>
    </row>
    <row r="108" spans="2:11" x14ac:dyDescent="0.25">
      <c r="B108" s="975"/>
      <c r="C108" s="94"/>
      <c r="D108" s="46" t="s">
        <v>895</v>
      </c>
      <c r="E108" s="5"/>
      <c r="F108" s="5"/>
      <c r="G108" s="5"/>
      <c r="H108" s="5"/>
      <c r="I108" s="5"/>
      <c r="J108" s="5"/>
      <c r="K108" s="5"/>
    </row>
    <row r="109" spans="2:11" x14ac:dyDescent="0.25">
      <c r="B109" s="975"/>
      <c r="C109" s="94"/>
      <c r="D109" s="53" t="s">
        <v>896</v>
      </c>
      <c r="E109" s="5"/>
      <c r="F109" s="5"/>
      <c r="G109" s="5"/>
      <c r="H109" s="5"/>
      <c r="I109" s="5"/>
      <c r="J109" s="5"/>
      <c r="K109" s="5"/>
    </row>
    <row r="110" spans="2:11" x14ac:dyDescent="0.25">
      <c r="B110" s="975"/>
      <c r="C110" s="94"/>
      <c r="D110" s="16"/>
      <c r="E110" s="5"/>
      <c r="F110" s="5"/>
      <c r="G110" s="5"/>
      <c r="H110" s="5"/>
      <c r="I110" s="5"/>
      <c r="J110" s="5"/>
      <c r="K110" s="5"/>
    </row>
    <row r="111" spans="2:11" x14ac:dyDescent="0.25">
      <c r="B111" s="975"/>
      <c r="C111" s="94"/>
      <c r="D111" s="46" t="s">
        <v>723</v>
      </c>
      <c r="E111" s="5"/>
      <c r="F111" s="5"/>
      <c r="G111" s="5"/>
      <c r="H111" s="5"/>
      <c r="I111" s="5"/>
      <c r="J111" s="5"/>
      <c r="K111" s="5"/>
    </row>
    <row r="112" spans="2:11" ht="37.5" x14ac:dyDescent="0.25">
      <c r="B112" s="975"/>
      <c r="C112" s="94"/>
      <c r="D112" s="46" t="s">
        <v>887</v>
      </c>
      <c r="E112" s="5"/>
      <c r="F112" s="5"/>
      <c r="G112" s="5"/>
      <c r="H112" s="5"/>
      <c r="I112" s="5"/>
      <c r="J112" s="5"/>
      <c r="K112" s="5"/>
    </row>
    <row r="113" spans="2:11" ht="25.5" x14ac:dyDescent="0.25">
      <c r="B113" s="975"/>
      <c r="C113" s="94"/>
      <c r="D113" s="46" t="s">
        <v>897</v>
      </c>
      <c r="E113" s="5"/>
      <c r="F113" s="5"/>
      <c r="G113" s="5"/>
      <c r="H113" s="5"/>
      <c r="I113" s="5"/>
      <c r="J113" s="5"/>
      <c r="K113" s="5"/>
    </row>
    <row r="114" spans="2:11" x14ac:dyDescent="0.25">
      <c r="B114" s="975"/>
      <c r="C114" s="94"/>
      <c r="D114" s="46" t="s">
        <v>898</v>
      </c>
      <c r="E114" s="5"/>
      <c r="F114" s="5"/>
      <c r="G114" s="5"/>
      <c r="H114" s="5"/>
      <c r="I114" s="5"/>
      <c r="J114" s="5"/>
      <c r="K114" s="5"/>
    </row>
    <row r="115" spans="2:11" x14ac:dyDescent="0.25">
      <c r="B115" s="975"/>
      <c r="C115" s="94"/>
      <c r="D115" s="53" t="s">
        <v>899</v>
      </c>
      <c r="E115" s="5"/>
      <c r="F115" s="5"/>
      <c r="G115" s="5"/>
      <c r="H115" s="5"/>
      <c r="I115" s="5"/>
      <c r="J115" s="5"/>
      <c r="K115" s="5"/>
    </row>
    <row r="116" spans="2:11" x14ac:dyDescent="0.25">
      <c r="B116" s="975"/>
      <c r="C116" s="94"/>
      <c r="D116" s="16"/>
      <c r="E116" s="5"/>
      <c r="F116" s="5"/>
      <c r="G116" s="5"/>
      <c r="H116" s="5"/>
      <c r="I116" s="5"/>
      <c r="J116" s="5"/>
      <c r="K116" s="5"/>
    </row>
    <row r="117" spans="2:11" x14ac:dyDescent="0.25">
      <c r="B117" s="975"/>
      <c r="C117" s="94"/>
      <c r="D117" s="46" t="s">
        <v>723</v>
      </c>
      <c r="E117" s="5"/>
      <c r="F117" s="5"/>
      <c r="G117" s="5"/>
      <c r="H117" s="5"/>
      <c r="I117" s="5"/>
      <c r="J117" s="5"/>
      <c r="K117" s="5"/>
    </row>
    <row r="118" spans="2:11" ht="37.5" x14ac:dyDescent="0.25">
      <c r="B118" s="975"/>
      <c r="C118" s="94"/>
      <c r="D118" s="46" t="s">
        <v>900</v>
      </c>
      <c r="E118" s="5"/>
      <c r="F118" s="5"/>
      <c r="G118" s="5"/>
      <c r="H118" s="5"/>
      <c r="I118" s="5"/>
      <c r="J118" s="5"/>
      <c r="K118" s="5"/>
    </row>
    <row r="119" spans="2:11" ht="25.5" x14ac:dyDescent="0.25">
      <c r="B119" s="975"/>
      <c r="C119" s="94"/>
      <c r="D119" s="46" t="s">
        <v>901</v>
      </c>
      <c r="E119" s="5"/>
      <c r="F119" s="5"/>
      <c r="G119" s="5"/>
      <c r="H119" s="5"/>
      <c r="I119" s="5"/>
      <c r="J119" s="5"/>
      <c r="K119" s="5"/>
    </row>
    <row r="120" spans="2:11" x14ac:dyDescent="0.25">
      <c r="B120" s="975"/>
      <c r="C120" s="94"/>
      <c r="D120" s="46" t="s">
        <v>902</v>
      </c>
      <c r="E120" s="5"/>
      <c r="F120" s="5"/>
      <c r="G120" s="5"/>
      <c r="H120" s="5"/>
      <c r="I120" s="5"/>
      <c r="J120" s="5"/>
      <c r="K120" s="5"/>
    </row>
    <row r="121" spans="2:11" x14ac:dyDescent="0.25">
      <c r="B121" s="975"/>
      <c r="C121" s="94"/>
      <c r="D121" s="53" t="s">
        <v>866</v>
      </c>
      <c r="E121" s="5"/>
      <c r="F121" s="5"/>
      <c r="G121" s="5"/>
      <c r="H121" s="5"/>
      <c r="I121" s="5"/>
      <c r="J121" s="5"/>
      <c r="K121" s="5"/>
    </row>
    <row r="122" spans="2:11" ht="36" x14ac:dyDescent="0.25">
      <c r="B122" s="975"/>
      <c r="C122" s="94"/>
      <c r="D122" s="53" t="s">
        <v>867</v>
      </c>
      <c r="E122" s="5"/>
      <c r="F122" s="5"/>
      <c r="G122" s="5"/>
      <c r="H122" s="5"/>
      <c r="I122" s="5"/>
      <c r="J122" s="5"/>
      <c r="K122" s="5"/>
    </row>
    <row r="123" spans="2:11" x14ac:dyDescent="0.25">
      <c r="B123" s="975"/>
      <c r="C123" s="94"/>
      <c r="D123" s="46" t="s">
        <v>903</v>
      </c>
      <c r="E123" s="5"/>
      <c r="F123" s="5"/>
      <c r="G123" s="5"/>
      <c r="H123" s="5"/>
      <c r="I123" s="5"/>
      <c r="J123" s="5"/>
      <c r="K123" s="5"/>
    </row>
    <row r="124" spans="2:11" x14ac:dyDescent="0.25">
      <c r="B124" s="975"/>
      <c r="C124" s="94"/>
      <c r="D124" s="46" t="s">
        <v>723</v>
      </c>
      <c r="E124" s="5"/>
      <c r="F124" s="5"/>
      <c r="G124" s="5"/>
      <c r="H124" s="5"/>
      <c r="I124" s="5"/>
      <c r="J124" s="5"/>
      <c r="K124" s="5"/>
    </row>
    <row r="125" spans="2:11" ht="49.5" x14ac:dyDescent="0.25">
      <c r="B125" s="975"/>
      <c r="C125" s="94"/>
      <c r="D125" s="46" t="s">
        <v>904</v>
      </c>
      <c r="E125" s="5"/>
      <c r="F125" s="5"/>
      <c r="G125" s="5"/>
      <c r="H125" s="5"/>
      <c r="I125" s="5"/>
      <c r="J125" s="5"/>
      <c r="K125" s="5"/>
    </row>
    <row r="126" spans="2:11" ht="49.5" x14ac:dyDescent="0.25">
      <c r="B126" s="975"/>
      <c r="C126" s="94"/>
      <c r="D126" s="46" t="s">
        <v>905</v>
      </c>
      <c r="E126" s="5"/>
      <c r="F126" s="5"/>
      <c r="G126" s="5"/>
      <c r="H126" s="5"/>
      <c r="I126" s="5"/>
      <c r="J126" s="5"/>
      <c r="K126" s="5"/>
    </row>
    <row r="127" spans="2:11" ht="50.25" thickBot="1" x14ac:dyDescent="0.3">
      <c r="B127" s="976"/>
      <c r="C127" s="2"/>
      <c r="D127" s="40" t="s">
        <v>906</v>
      </c>
      <c r="E127" s="5"/>
      <c r="F127" s="5"/>
      <c r="G127" s="5"/>
      <c r="H127" s="5"/>
      <c r="I127" s="5"/>
      <c r="J127" s="5"/>
      <c r="K127" s="5"/>
    </row>
  </sheetData>
  <sheetProtection insertRows="0"/>
  <mergeCells count="29">
    <mergeCell ref="A1:P1"/>
    <mergeCell ref="A2:P2"/>
    <mergeCell ref="A3:P3"/>
    <mergeCell ref="A4:D4"/>
    <mergeCell ref="A5:P5"/>
    <mergeCell ref="D53:K53"/>
    <mergeCell ref="D54:K54"/>
    <mergeCell ref="B56:E56"/>
    <mergeCell ref="B93:B127"/>
    <mergeCell ref="B66:B72"/>
    <mergeCell ref="B74:F74"/>
    <mergeCell ref="B81:D81"/>
    <mergeCell ref="B83:B89"/>
    <mergeCell ref="B91:B92"/>
    <mergeCell ref="B79:J80"/>
    <mergeCell ref="B57:B63"/>
    <mergeCell ref="B65:E65"/>
    <mergeCell ref="D52:K52"/>
    <mergeCell ref="B15:B26"/>
    <mergeCell ref="D15:K15"/>
    <mergeCell ref="D16:K16"/>
    <mergeCell ref="D28:K28"/>
    <mergeCell ref="D29:K29"/>
    <mergeCell ref="D30:K30"/>
    <mergeCell ref="B10:D10"/>
    <mergeCell ref="F10:S10"/>
    <mergeCell ref="F11:S11"/>
    <mergeCell ref="E12:R12"/>
    <mergeCell ref="E13:R13"/>
  </mergeCells>
  <conditionalFormatting sqref="E12:R12">
    <cfRule type="expression" dxfId="102" priority="1">
      <formula>E11="SI SE REPORTA"</formula>
    </cfRule>
  </conditionalFormatting>
  <conditionalFormatting sqref="F10">
    <cfRule type="notContainsBlanks" dxfId="101" priority="4">
      <formula>LEN(TRIM(F10))&gt;0</formula>
    </cfRule>
  </conditionalFormatting>
  <conditionalFormatting sqref="F11:S11">
    <cfRule type="expression" dxfId="100" priority="2">
      <formula>E11="NO SE REPORTA"</formula>
    </cfRule>
    <cfRule type="expression" dxfId="99" priority="3">
      <formula>E10="NO APLICA"</formula>
    </cfRule>
  </conditionalFormatting>
  <dataValidations count="5">
    <dataValidation type="list" allowBlank="1" showInputMessage="1" showErrorMessage="1" sqref="E10" xr:uid="{00000000-0002-0000-0E00-000004000000}">
      <formula1>SI</formula1>
    </dataValidation>
    <dataValidation type="list" allowBlank="1" showInputMessage="1" showErrorMessage="1" sqref="E11" xr:uid="{00000000-0002-0000-0E00-000003000000}">
      <formula1>REPORTE</formula1>
    </dataValidation>
    <dataValidation type="textLength" allowBlank="1" showInputMessage="1" showErrorMessage="1" errorTitle="ERROR" error="Escriba POMCA, PMM o PMA" promptTitle="ESCRIBA" prompt="POMCA, PMA o PMM" sqref="E32:E50" xr:uid="{00000000-0002-0000-0E00-000002000000}">
      <formula1>1</formula1>
      <formula2>5</formula2>
    </dataValidation>
    <dataValidation type="whole" operator="greaterThanOrEqual" allowBlank="1" showInputMessage="1" showErrorMessage="1" errorTitle="ERROR" error="Valor en PESOS (sin centavos)" sqref="F32:I50" xr:uid="{00000000-0002-0000-0E00-000001000000}">
      <formula1>0</formula1>
    </dataValidation>
    <dataValidation type="whole" operator="greaterThanOrEqual" allowBlank="1" showErrorMessage="1" errorTitle="ERROR" error="Escriba un número igual o mayor que 0" promptTitle="ERROR" prompt="Escriba un número igual o mayor que 0" sqref="E18:H23" xr:uid="{00000000-0002-0000-0E00-000000000000}">
      <formula1>0</formula1>
    </dataValidation>
  </dataValidations>
  <hyperlinks>
    <hyperlink ref="B9" location="'ANEXO 3'!A1" display="VOLVER AL INDICE" xr:uid="{FC30F231-07AB-4E2B-ADFA-249B4D8817EC}"/>
    <hyperlink ref="E61" r:id="rId1" xr:uid="{DCBA5E04-4336-4421-AC1C-8A054CF17052}"/>
  </hyperlinks>
  <pageMargins left="0.25" right="0.25" top="0.75" bottom="0.75" header="0.3" footer="0.3"/>
  <pageSetup paperSize="178" orientation="landscape" horizontalDpi="1200" verticalDpi="1200"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3B332-B317-41E4-8ACD-DA933EE88539}">
  <dimension ref="A1:U101"/>
  <sheetViews>
    <sheetView showGridLines="0" zoomScale="98" zoomScaleNormal="98" workbookViewId="0">
      <selection activeCell="E12" sqref="E12:R12"/>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13</v>
      </c>
      <c r="B5" s="998"/>
      <c r="C5" s="998"/>
      <c r="D5" s="998"/>
      <c r="E5" s="998"/>
      <c r="F5" s="998"/>
      <c r="G5" s="998"/>
      <c r="H5" s="998"/>
      <c r="I5" s="998"/>
      <c r="J5" s="998"/>
      <c r="K5" s="998"/>
      <c r="L5" s="998"/>
      <c r="M5" s="998"/>
      <c r="N5" s="998"/>
      <c r="O5" s="998"/>
      <c r="P5" s="999"/>
    </row>
    <row r="6" spans="1:21" x14ac:dyDescent="0.25">
      <c r="B6" s="1" t="s">
        <v>626</v>
      </c>
      <c r="C6" s="76"/>
      <c r="D6" s="5"/>
      <c r="E6" s="74"/>
      <c r="F6" s="5" t="s">
        <v>627</v>
      </c>
      <c r="G6" s="5"/>
      <c r="H6" s="5"/>
      <c r="I6" s="5"/>
      <c r="J6" s="5"/>
      <c r="K6" s="5"/>
    </row>
    <row r="7" spans="1:21" ht="15.75" thickBot="1" x14ac:dyDescent="0.3">
      <c r="B7" s="75"/>
      <c r="C7" s="77"/>
      <c r="D7" s="5"/>
      <c r="E7" s="17"/>
      <c r="F7" s="5" t="s">
        <v>628</v>
      </c>
      <c r="G7" s="5"/>
      <c r="H7" s="5"/>
      <c r="I7" s="5"/>
      <c r="J7" s="5"/>
      <c r="K7" s="5"/>
    </row>
    <row r="8" spans="1:21" ht="15.75" thickBot="1" x14ac:dyDescent="0.3">
      <c r="B8" s="171" t="s">
        <v>629</v>
      </c>
      <c r="C8" s="211">
        <v>2024</v>
      </c>
      <c r="D8" s="216">
        <f>IF(E10="NO APLICA","NO APLICA",IF(E11="NO SE REPORTA","SIN INFORMACION",+G19))</f>
        <v>0</v>
      </c>
      <c r="E8" s="212"/>
      <c r="F8" s="5" t="s">
        <v>630</v>
      </c>
      <c r="G8" s="5"/>
      <c r="H8" s="5"/>
      <c r="I8" s="5"/>
      <c r="J8" s="5"/>
      <c r="K8" s="5"/>
    </row>
    <row r="9" spans="1:21" x14ac:dyDescent="0.25">
      <c r="B9" s="358" t="s">
        <v>631</v>
      </c>
      <c r="D9" s="5"/>
      <c r="E9" s="5"/>
      <c r="F9" s="5"/>
      <c r="G9" s="5"/>
      <c r="H9" s="5"/>
      <c r="I9" s="5"/>
      <c r="J9" s="5"/>
      <c r="K9" s="5"/>
    </row>
    <row r="10" spans="1:21" x14ac:dyDescent="0.25">
      <c r="B10" s="1008" t="s">
        <v>632</v>
      </c>
      <c r="C10" s="1008"/>
      <c r="D10" s="1008"/>
      <c r="E10" s="361" t="s">
        <v>633</v>
      </c>
      <c r="F10" s="99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96"/>
      <c r="H10" s="996"/>
      <c r="I10" s="996"/>
      <c r="J10" s="996"/>
      <c r="K10" s="996"/>
      <c r="L10" s="996"/>
      <c r="M10" s="996"/>
      <c r="N10" s="996"/>
      <c r="O10" s="996"/>
      <c r="P10" s="996"/>
      <c r="Q10" s="996"/>
      <c r="R10" s="996"/>
      <c r="S10" s="996"/>
      <c r="T10" s="5"/>
      <c r="U10" s="5"/>
    </row>
    <row r="11" spans="1:21" ht="14.45" customHeight="1" x14ac:dyDescent="0.25">
      <c r="B11" s="360"/>
      <c r="C11" s="88"/>
      <c r="D11" s="171" t="str">
        <f>IF(E10="SI APLICA","¿El indicador no se reporta por limitaciones de información disponible? ","")</f>
        <v xml:space="preserve">¿El indicador no se reporta por limitaciones de información disponible? </v>
      </c>
      <c r="E11" s="362" t="s">
        <v>634</v>
      </c>
      <c r="F11" s="1009"/>
      <c r="G11" s="1010"/>
      <c r="H11" s="1010"/>
      <c r="I11" s="1010"/>
      <c r="J11" s="1010"/>
      <c r="K11" s="1010"/>
      <c r="L11" s="1010"/>
      <c r="M11" s="1010"/>
      <c r="N11" s="1010"/>
      <c r="O11" s="1010"/>
      <c r="P11" s="1010"/>
      <c r="Q11" s="1010"/>
      <c r="R11" s="1010"/>
      <c r="S11" s="1010"/>
    </row>
    <row r="12" spans="1:21" x14ac:dyDescent="0.25">
      <c r="B12" s="358"/>
      <c r="C12" s="88"/>
      <c r="D12" s="171" t="str">
        <f>IF(E11="SI SE REPORTA","¿Qué programas o proyectos del Plan de Acción están asociados al indicador? ","")</f>
        <v xml:space="preserve">¿Qué programas o proyectos del Plan de Acción están asociados al indicador? </v>
      </c>
      <c r="E12" s="1011" t="s">
        <v>2310</v>
      </c>
      <c r="F12" s="1011"/>
      <c r="G12" s="1011"/>
      <c r="H12" s="1011"/>
      <c r="I12" s="1011"/>
      <c r="J12" s="1011"/>
      <c r="K12" s="1011"/>
      <c r="L12" s="1011"/>
      <c r="M12" s="1011"/>
      <c r="N12" s="1011"/>
      <c r="O12" s="1011"/>
      <c r="P12" s="1011"/>
      <c r="Q12" s="1011"/>
      <c r="R12" s="1011"/>
    </row>
    <row r="13" spans="1:21" ht="21.95" customHeight="1" x14ac:dyDescent="0.25">
      <c r="B13" s="358"/>
      <c r="C13" s="88"/>
      <c r="D13" s="171" t="s">
        <v>635</v>
      </c>
      <c r="E13" s="1012"/>
      <c r="F13" s="1013"/>
      <c r="G13" s="1013"/>
      <c r="H13" s="1013"/>
      <c r="I13" s="1013"/>
      <c r="J13" s="1013"/>
      <c r="K13" s="1013"/>
      <c r="L13" s="1013"/>
      <c r="M13" s="1013"/>
      <c r="N13" s="1013"/>
      <c r="O13" s="1013"/>
      <c r="P13" s="1013"/>
      <c r="Q13" s="1013"/>
      <c r="R13" s="1014"/>
    </row>
    <row r="14" spans="1:21" ht="6.95" customHeight="1" thickBot="1" x14ac:dyDescent="0.3">
      <c r="B14" s="358"/>
      <c r="D14" s="5"/>
      <c r="E14" s="5"/>
      <c r="F14" s="5"/>
      <c r="G14" s="5"/>
      <c r="H14" s="5"/>
      <c r="I14" s="5"/>
      <c r="J14" s="5"/>
      <c r="K14" s="5"/>
    </row>
    <row r="15" spans="1:21" ht="15.6" customHeight="1" thickTop="1" thickBot="1" x14ac:dyDescent="0.3">
      <c r="B15" s="1044" t="s">
        <v>636</v>
      </c>
      <c r="C15" s="89"/>
      <c r="D15" s="983" t="s">
        <v>637</v>
      </c>
      <c r="E15" s="984"/>
      <c r="F15" s="984"/>
      <c r="G15" s="984"/>
      <c r="H15" s="984"/>
      <c r="I15" s="985"/>
      <c r="J15" s="5"/>
      <c r="K15" s="5"/>
    </row>
    <row r="16" spans="1:21" ht="15.75" thickBot="1" x14ac:dyDescent="0.3">
      <c r="B16" s="951"/>
      <c r="C16" s="94"/>
      <c r="D16" s="43" t="s">
        <v>763</v>
      </c>
      <c r="E16" s="38" t="s">
        <v>587</v>
      </c>
      <c r="F16" s="38" t="s">
        <v>588</v>
      </c>
      <c r="G16" s="38" t="s">
        <v>589</v>
      </c>
      <c r="H16" s="38" t="s">
        <v>590</v>
      </c>
      <c r="I16" s="256"/>
      <c r="J16" s="5"/>
      <c r="K16" s="5"/>
    </row>
    <row r="17" spans="2:11" ht="60.75" thickBot="1" x14ac:dyDescent="0.3">
      <c r="B17" s="951"/>
      <c r="C17" s="94"/>
      <c r="D17" s="257" t="s">
        <v>907</v>
      </c>
      <c r="E17" s="206">
        <v>1</v>
      </c>
      <c r="F17" s="206">
        <v>1</v>
      </c>
      <c r="G17" s="206">
        <v>1</v>
      </c>
      <c r="H17" s="206">
        <v>1</v>
      </c>
      <c r="I17" s="254"/>
      <c r="J17" s="5"/>
      <c r="K17" s="5"/>
    </row>
    <row r="18" spans="2:11" ht="60.75" thickBot="1" x14ac:dyDescent="0.3">
      <c r="B18" s="951"/>
      <c r="C18" s="94"/>
      <c r="D18" s="257" t="s">
        <v>908</v>
      </c>
      <c r="E18" s="206"/>
      <c r="F18" s="206"/>
      <c r="G18" s="206"/>
      <c r="H18" s="206"/>
      <c r="I18" s="254"/>
      <c r="J18" s="5"/>
      <c r="K18" s="5"/>
    </row>
    <row r="19" spans="2:11" ht="60.75" thickBot="1" x14ac:dyDescent="0.3">
      <c r="B19" s="951"/>
      <c r="C19" s="94"/>
      <c r="D19" s="257" t="s">
        <v>909</v>
      </c>
      <c r="E19" s="185">
        <f>IFERROR(E18/E17,"N.A.")</f>
        <v>0</v>
      </c>
      <c r="F19" s="185">
        <f>IFERROR(F18/F17,"N.A.")</f>
        <v>0</v>
      </c>
      <c r="G19" s="185">
        <f>IFERROR(G18/G17,"N.A.")</f>
        <v>0</v>
      </c>
      <c r="H19" s="185">
        <f>IFERROR(H18/H17,"N.A.")</f>
        <v>0</v>
      </c>
      <c r="I19" s="237"/>
      <c r="J19" s="5"/>
      <c r="K19" s="5"/>
    </row>
    <row r="20" spans="2:11" ht="15.75" thickBot="1" x14ac:dyDescent="0.3">
      <c r="B20" s="951"/>
      <c r="C20" s="92"/>
      <c r="D20" s="956" t="s">
        <v>910</v>
      </c>
      <c r="E20" s="957"/>
      <c r="F20" s="957"/>
      <c r="G20" s="957"/>
      <c r="H20" s="957"/>
      <c r="I20" s="958"/>
      <c r="J20" s="5"/>
      <c r="K20" s="5"/>
    </row>
    <row r="21" spans="2:11" ht="21" customHeight="1" x14ac:dyDescent="0.25">
      <c r="B21" s="218"/>
      <c r="C21" s="1045" t="s">
        <v>585</v>
      </c>
      <c r="D21" s="1047" t="s">
        <v>911</v>
      </c>
      <c r="E21" s="1049" t="s">
        <v>912</v>
      </c>
      <c r="F21" s="1049" t="s">
        <v>913</v>
      </c>
      <c r="G21" s="1049" t="s">
        <v>593</v>
      </c>
      <c r="I21" s="21"/>
      <c r="J21" s="5"/>
      <c r="K21" s="5"/>
    </row>
    <row r="22" spans="2:11" ht="15.75" thickBot="1" x14ac:dyDescent="0.3">
      <c r="B22" s="218"/>
      <c r="C22" s="1046"/>
      <c r="D22" s="1048"/>
      <c r="E22" s="1050"/>
      <c r="F22" s="1050"/>
      <c r="G22" s="1050"/>
      <c r="I22" s="21"/>
      <c r="J22" s="5"/>
      <c r="K22" s="5"/>
    </row>
    <row r="23" spans="2:11" s="188" customFormat="1" ht="15.75" thickBot="1" x14ac:dyDescent="0.3">
      <c r="B23" s="217"/>
      <c r="C23" s="8">
        <v>1</v>
      </c>
      <c r="D23" s="30"/>
      <c r="E23" s="6"/>
      <c r="F23" s="29"/>
      <c r="G23" s="29"/>
      <c r="I23" s="19"/>
      <c r="J23" s="18"/>
      <c r="K23" s="18"/>
    </row>
    <row r="24" spans="2:11" s="188" customFormat="1" ht="15.75" thickBot="1" x14ac:dyDescent="0.3">
      <c r="B24" s="217"/>
      <c r="C24" s="8">
        <v>2</v>
      </c>
      <c r="D24" s="30"/>
      <c r="E24" s="6"/>
      <c r="F24" s="29"/>
      <c r="G24" s="29"/>
      <c r="I24" s="19"/>
      <c r="J24" s="18"/>
      <c r="K24" s="18"/>
    </row>
    <row r="25" spans="2:11" s="188" customFormat="1" ht="15.75" thickBot="1" x14ac:dyDescent="0.3">
      <c r="B25" s="217"/>
      <c r="C25" s="8">
        <v>3</v>
      </c>
      <c r="D25" s="30"/>
      <c r="E25" s="6"/>
      <c r="F25" s="29"/>
      <c r="G25" s="29"/>
      <c r="H25" s="259"/>
      <c r="I25" s="19"/>
      <c r="J25" s="18"/>
      <c r="K25" s="18"/>
    </row>
    <row r="26" spans="2:11" s="188" customFormat="1" ht="15.75" thickBot="1" x14ac:dyDescent="0.3">
      <c r="B26" s="217"/>
      <c r="C26" s="8">
        <v>4</v>
      </c>
      <c r="D26" s="30"/>
      <c r="E26" s="6"/>
      <c r="F26" s="29"/>
      <c r="G26" s="29"/>
      <c r="H26" s="259"/>
      <c r="I26" s="19"/>
      <c r="J26" s="18"/>
      <c r="K26" s="18"/>
    </row>
    <row r="27" spans="2:11" s="188" customFormat="1" ht="15.75" thickBot="1" x14ac:dyDescent="0.3">
      <c r="B27" s="217"/>
      <c r="C27" s="8">
        <v>5</v>
      </c>
      <c r="D27" s="30"/>
      <c r="E27" s="6"/>
      <c r="F27" s="29"/>
      <c r="G27" s="29"/>
      <c r="H27" s="259"/>
      <c r="I27" s="19"/>
      <c r="J27" s="18"/>
      <c r="K27" s="18"/>
    </row>
    <row r="28" spans="2:11" s="188" customFormat="1" ht="15.75" thickBot="1" x14ac:dyDescent="0.3">
      <c r="B28" s="217"/>
      <c r="C28" s="8">
        <v>6</v>
      </c>
      <c r="D28" s="30"/>
      <c r="E28" s="6"/>
      <c r="F28" s="29"/>
      <c r="G28" s="29"/>
      <c r="H28" s="259"/>
      <c r="I28" s="19"/>
      <c r="J28" s="18"/>
      <c r="K28" s="18"/>
    </row>
    <row r="29" spans="2:11" s="188" customFormat="1" ht="15.75" thickBot="1" x14ac:dyDescent="0.3">
      <c r="B29" s="217"/>
      <c r="C29" s="8">
        <v>7</v>
      </c>
      <c r="D29" s="30"/>
      <c r="E29" s="6"/>
      <c r="F29" s="29"/>
      <c r="G29" s="29"/>
      <c r="H29" s="259"/>
      <c r="I29" s="19"/>
      <c r="J29" s="18"/>
      <c r="K29" s="18"/>
    </row>
    <row r="30" spans="2:11" s="188" customFormat="1" ht="15.75" thickBot="1" x14ac:dyDescent="0.3">
      <c r="B30" s="217"/>
      <c r="C30" s="8">
        <v>8</v>
      </c>
      <c r="D30" s="30"/>
      <c r="E30" s="6"/>
      <c r="F30" s="29"/>
      <c r="G30" s="29"/>
      <c r="H30" s="259"/>
      <c r="I30" s="19"/>
      <c r="J30" s="18"/>
      <c r="K30" s="18"/>
    </row>
    <row r="31" spans="2:11" s="188" customFormat="1" ht="15.75" thickBot="1" x14ac:dyDescent="0.3">
      <c r="B31" s="217"/>
      <c r="C31" s="8">
        <v>9</v>
      </c>
      <c r="D31" s="30"/>
      <c r="E31" s="6"/>
      <c r="F31" s="29"/>
      <c r="G31" s="29"/>
      <c r="H31" s="259"/>
      <c r="I31" s="19"/>
      <c r="J31" s="18"/>
      <c r="K31" s="18"/>
    </row>
    <row r="32" spans="2:11" s="188" customFormat="1" ht="15.75" thickBot="1" x14ac:dyDescent="0.3">
      <c r="B32" s="217"/>
      <c r="C32" s="8">
        <v>10</v>
      </c>
      <c r="D32" s="30"/>
      <c r="E32" s="6"/>
      <c r="F32" s="29"/>
      <c r="G32" s="29"/>
      <c r="H32" s="259"/>
      <c r="I32" s="19"/>
      <c r="J32" s="18"/>
      <c r="K32" s="18"/>
    </row>
    <row r="33" spans="2:11" s="188" customFormat="1" ht="15.75" thickBot="1" x14ac:dyDescent="0.3">
      <c r="B33" s="217"/>
      <c r="C33" s="8">
        <v>11</v>
      </c>
      <c r="D33" s="30"/>
      <c r="E33" s="6"/>
      <c r="F33" s="29"/>
      <c r="G33" s="29"/>
      <c r="H33" s="259"/>
      <c r="I33" s="19"/>
      <c r="J33" s="18"/>
      <c r="K33" s="18"/>
    </row>
    <row r="34" spans="2:11" s="188" customFormat="1" ht="15.75" thickBot="1" x14ac:dyDescent="0.3">
      <c r="B34" s="217"/>
      <c r="C34" s="8">
        <v>12</v>
      </c>
      <c r="D34" s="30"/>
      <c r="E34" s="6"/>
      <c r="F34" s="29"/>
      <c r="G34" s="29"/>
      <c r="H34" s="259"/>
      <c r="I34" s="19"/>
      <c r="J34" s="18"/>
      <c r="K34" s="18"/>
    </row>
    <row r="35" spans="2:11" s="188" customFormat="1" ht="15.75" thickBot="1" x14ac:dyDescent="0.3">
      <c r="B35" s="217"/>
      <c r="C35" s="8">
        <v>13</v>
      </c>
      <c r="D35" s="30"/>
      <c r="E35" s="6"/>
      <c r="F35" s="29"/>
      <c r="G35" s="29"/>
      <c r="H35" s="259"/>
      <c r="I35" s="19"/>
      <c r="J35" s="18"/>
      <c r="K35" s="18"/>
    </row>
    <row r="36" spans="2:11" s="188" customFormat="1" ht="15.75" thickBot="1" x14ac:dyDescent="0.3">
      <c r="B36" s="217"/>
      <c r="C36" s="8">
        <v>14</v>
      </c>
      <c r="D36" s="30"/>
      <c r="E36" s="6"/>
      <c r="F36" s="29"/>
      <c r="G36" s="29"/>
      <c r="H36" s="259"/>
      <c r="I36" s="19"/>
      <c r="J36" s="18"/>
      <c r="K36" s="18"/>
    </row>
    <row r="37" spans="2:11" s="188" customFormat="1" ht="15.75" thickBot="1" x14ac:dyDescent="0.3">
      <c r="B37" s="217"/>
      <c r="C37" s="8">
        <v>15</v>
      </c>
      <c r="D37" s="30"/>
      <c r="E37" s="6"/>
      <c r="F37" s="29"/>
      <c r="G37" s="29"/>
      <c r="H37" s="259"/>
      <c r="I37" s="19"/>
      <c r="J37" s="18"/>
      <c r="K37" s="18"/>
    </row>
    <row r="38" spans="2:11" s="188" customFormat="1" ht="15.75" thickBot="1" x14ac:dyDescent="0.3">
      <c r="B38" s="217"/>
      <c r="C38" s="8">
        <v>16</v>
      </c>
      <c r="D38" s="30"/>
      <c r="E38" s="6"/>
      <c r="F38" s="29"/>
      <c r="G38" s="29"/>
      <c r="H38" s="259"/>
      <c r="I38" s="19"/>
      <c r="J38" s="18"/>
      <c r="K38" s="18"/>
    </row>
    <row r="39" spans="2:11" s="188" customFormat="1" ht="15.75" thickBot="1" x14ac:dyDescent="0.3">
      <c r="B39" s="217"/>
      <c r="C39" s="8">
        <v>17</v>
      </c>
      <c r="D39" s="30"/>
      <c r="E39" s="6"/>
      <c r="F39" s="29"/>
      <c r="G39" s="29"/>
      <c r="H39" s="259"/>
      <c r="I39" s="19"/>
      <c r="J39" s="18"/>
      <c r="K39" s="18"/>
    </row>
    <row r="40" spans="2:11" s="188" customFormat="1" ht="15.75" thickBot="1" x14ac:dyDescent="0.3">
      <c r="B40" s="217"/>
      <c r="C40" s="8">
        <v>18</v>
      </c>
      <c r="D40" s="30"/>
      <c r="E40" s="6"/>
      <c r="F40" s="29"/>
      <c r="G40" s="29"/>
      <c r="H40" s="259"/>
      <c r="I40" s="19"/>
      <c r="J40" s="18"/>
      <c r="K40" s="18"/>
    </row>
    <row r="41" spans="2:11" s="188" customFormat="1" ht="15.75" thickBot="1" x14ac:dyDescent="0.3">
      <c r="B41" s="217"/>
      <c r="C41" s="8">
        <v>19</v>
      </c>
      <c r="D41" s="30"/>
      <c r="E41" s="6"/>
      <c r="F41" s="29"/>
      <c r="G41" s="29"/>
      <c r="I41" s="19"/>
      <c r="J41" s="18"/>
      <c r="K41" s="18"/>
    </row>
    <row r="42" spans="2:11" s="188" customFormat="1" ht="15.75" thickBot="1" x14ac:dyDescent="0.3">
      <c r="B42" s="179"/>
      <c r="C42" s="8">
        <v>20</v>
      </c>
      <c r="D42" s="30"/>
      <c r="E42" s="6"/>
      <c r="F42" s="29"/>
      <c r="G42" s="29"/>
      <c r="I42" s="191"/>
      <c r="J42" s="18"/>
      <c r="K42" s="18"/>
    </row>
    <row r="43" spans="2:11" ht="36" customHeight="1" thickBot="1" x14ac:dyDescent="0.3">
      <c r="B43" s="47" t="s">
        <v>671</v>
      </c>
      <c r="C43" s="93"/>
      <c r="D43" s="983" t="s">
        <v>914</v>
      </c>
      <c r="E43" s="984"/>
      <c r="F43" s="984"/>
      <c r="G43" s="984"/>
      <c r="H43" s="984"/>
      <c r="I43" s="985"/>
      <c r="J43" s="5"/>
      <c r="K43" s="5"/>
    </row>
    <row r="44" spans="2:11" ht="24.75" thickBot="1" x14ac:dyDescent="0.3">
      <c r="B44" s="47" t="s">
        <v>673</v>
      </c>
      <c r="C44" s="93"/>
      <c r="D44" s="983" t="s">
        <v>876</v>
      </c>
      <c r="E44" s="984"/>
      <c r="F44" s="984"/>
      <c r="G44" s="984"/>
      <c r="H44" s="984"/>
      <c r="I44" s="985"/>
      <c r="J44" s="5"/>
      <c r="K44" s="5"/>
    </row>
    <row r="45" spans="2:11" ht="15.75" thickBot="1" x14ac:dyDescent="0.3">
      <c r="B45" s="1"/>
      <c r="C45" s="76"/>
      <c r="D45" s="5"/>
      <c r="E45" s="5"/>
      <c r="F45" s="5"/>
      <c r="G45" s="5"/>
      <c r="H45" s="5"/>
      <c r="I45" s="5"/>
      <c r="J45" s="5"/>
      <c r="K45" s="5"/>
    </row>
    <row r="46" spans="2:11" ht="24" customHeight="1" thickBot="1" x14ac:dyDescent="0.3">
      <c r="B46" s="971" t="s">
        <v>675</v>
      </c>
      <c r="C46" s="972"/>
      <c r="D46" s="972"/>
      <c r="E46" s="973"/>
      <c r="F46" s="5"/>
      <c r="G46" s="5"/>
      <c r="H46" s="5"/>
      <c r="I46" s="5"/>
      <c r="J46" s="5"/>
      <c r="K46" s="5"/>
    </row>
    <row r="47" spans="2:11" ht="48.75" thickBot="1" x14ac:dyDescent="0.3">
      <c r="B47" s="974">
        <v>1</v>
      </c>
      <c r="C47" s="94"/>
      <c r="D47" s="48" t="s">
        <v>676</v>
      </c>
      <c r="E47" s="337" t="s">
        <v>2301</v>
      </c>
      <c r="F47" s="5"/>
      <c r="G47" s="5"/>
      <c r="H47" s="5"/>
      <c r="I47" s="5"/>
      <c r="J47" s="5"/>
      <c r="K47" s="5"/>
    </row>
    <row r="48" spans="2:11" ht="48.75" thickBot="1" x14ac:dyDescent="0.3">
      <c r="B48" s="975"/>
      <c r="C48" s="94"/>
      <c r="D48" s="40" t="s">
        <v>525</v>
      </c>
      <c r="E48" s="337" t="s">
        <v>2311</v>
      </c>
      <c r="F48" s="5"/>
      <c r="G48" s="5"/>
      <c r="H48" s="5"/>
      <c r="I48" s="5"/>
      <c r="J48" s="5"/>
      <c r="K48" s="5"/>
    </row>
    <row r="49" spans="2:11" ht="36.75" thickBot="1" x14ac:dyDescent="0.3">
      <c r="B49" s="975"/>
      <c r="C49" s="94"/>
      <c r="D49" s="40" t="s">
        <v>677</v>
      </c>
      <c r="E49" s="337" t="s">
        <v>2303</v>
      </c>
      <c r="F49" s="5"/>
      <c r="G49" s="5"/>
      <c r="H49" s="5"/>
      <c r="I49" s="5"/>
      <c r="J49" s="5"/>
      <c r="K49" s="5"/>
    </row>
    <row r="50" spans="2:11" ht="15.75" thickBot="1" x14ac:dyDescent="0.3">
      <c r="B50" s="975"/>
      <c r="C50" s="94"/>
      <c r="D50" s="40" t="s">
        <v>527</v>
      </c>
      <c r="E50" s="337" t="s">
        <v>2304</v>
      </c>
      <c r="F50" s="5"/>
      <c r="G50" s="5"/>
      <c r="H50" s="5"/>
      <c r="I50" s="5"/>
      <c r="J50" s="5"/>
      <c r="K50" s="5"/>
    </row>
    <row r="51" spans="2:11" ht="60.75" thickBot="1" x14ac:dyDescent="0.3">
      <c r="B51" s="975"/>
      <c r="C51" s="94"/>
      <c r="D51" s="40" t="s">
        <v>529</v>
      </c>
      <c r="E51" s="766" t="s">
        <v>2309</v>
      </c>
      <c r="F51" s="5"/>
      <c r="G51" s="5"/>
      <c r="H51" s="5"/>
      <c r="I51" s="5"/>
      <c r="J51" s="5"/>
      <c r="K51" s="5"/>
    </row>
    <row r="52" spans="2:11" ht="15.75" thickBot="1" x14ac:dyDescent="0.3">
      <c r="B52" s="975"/>
      <c r="C52" s="94"/>
      <c r="D52" s="40" t="s">
        <v>531</v>
      </c>
      <c r="E52" s="337">
        <v>5748960</v>
      </c>
      <c r="F52" s="5"/>
      <c r="G52" s="5"/>
      <c r="H52" s="5"/>
      <c r="I52" s="5"/>
      <c r="J52" s="5"/>
      <c r="K52" s="5"/>
    </row>
    <row r="53" spans="2:11" ht="60.75" thickBot="1" x14ac:dyDescent="0.3">
      <c r="B53" s="976"/>
      <c r="C53" s="2"/>
      <c r="D53" s="40" t="s">
        <v>678</v>
      </c>
      <c r="E53" s="337" t="s">
        <v>2312</v>
      </c>
      <c r="F53" s="5"/>
      <c r="G53" s="5"/>
      <c r="H53" s="5"/>
      <c r="I53" s="5"/>
      <c r="J53" s="5"/>
      <c r="K53" s="5"/>
    </row>
    <row r="54" spans="2:11" ht="15.75" thickBot="1" x14ac:dyDescent="0.3">
      <c r="B54" s="1"/>
      <c r="C54" s="76"/>
      <c r="D54" s="5"/>
      <c r="E54" s="5"/>
      <c r="F54" s="5"/>
      <c r="G54" s="5"/>
      <c r="H54" s="5"/>
      <c r="I54" s="5"/>
      <c r="J54" s="5"/>
      <c r="K54" s="5"/>
    </row>
    <row r="55" spans="2:11" ht="15.75" thickBot="1" x14ac:dyDescent="0.3">
      <c r="B55" s="971" t="s">
        <v>679</v>
      </c>
      <c r="C55" s="972"/>
      <c r="D55" s="972"/>
      <c r="E55" s="973"/>
      <c r="F55" s="5"/>
      <c r="G55" s="5"/>
      <c r="H55" s="5"/>
      <c r="I55" s="5"/>
      <c r="J55" s="5"/>
      <c r="K55" s="5"/>
    </row>
    <row r="56" spans="2:11" ht="15.75" thickBot="1" x14ac:dyDescent="0.3">
      <c r="B56" s="974">
        <v>1</v>
      </c>
      <c r="C56" s="94"/>
      <c r="D56" s="48" t="s">
        <v>676</v>
      </c>
      <c r="E56" s="219" t="s">
        <v>680</v>
      </c>
      <c r="F56" s="5"/>
      <c r="G56" s="5"/>
      <c r="H56" s="5"/>
      <c r="I56" s="5"/>
      <c r="J56" s="5"/>
      <c r="K56" s="5"/>
    </row>
    <row r="57" spans="2:11" ht="15.75" thickBot="1" x14ac:dyDescent="0.3">
      <c r="B57" s="975"/>
      <c r="C57" s="94"/>
      <c r="D57" s="40" t="s">
        <v>525</v>
      </c>
      <c r="E57" s="219" t="s">
        <v>681</v>
      </c>
      <c r="F57" s="5"/>
      <c r="G57" s="5"/>
      <c r="H57" s="5"/>
      <c r="I57" s="5"/>
      <c r="J57" s="5"/>
      <c r="K57" s="5"/>
    </row>
    <row r="58" spans="2:11" ht="15.75" thickBot="1" x14ac:dyDescent="0.3">
      <c r="B58" s="975"/>
      <c r="C58" s="94"/>
      <c r="D58" s="40" t="s">
        <v>677</v>
      </c>
      <c r="E58" s="239"/>
      <c r="F58" s="5"/>
      <c r="G58" s="5"/>
      <c r="H58" s="5"/>
      <c r="I58" s="5"/>
      <c r="J58" s="5"/>
      <c r="K58" s="5"/>
    </row>
    <row r="59" spans="2:11" ht="15.75" thickBot="1" x14ac:dyDescent="0.3">
      <c r="B59" s="975"/>
      <c r="C59" s="94"/>
      <c r="D59" s="40" t="s">
        <v>527</v>
      </c>
      <c r="E59" s="239"/>
      <c r="F59" s="5"/>
      <c r="G59" s="5"/>
      <c r="H59" s="5"/>
      <c r="I59" s="5"/>
      <c r="J59" s="5"/>
      <c r="K59" s="5"/>
    </row>
    <row r="60" spans="2:11" ht="15.75" thickBot="1" x14ac:dyDescent="0.3">
      <c r="B60" s="975"/>
      <c r="C60" s="94"/>
      <c r="D60" s="40" t="s">
        <v>529</v>
      </c>
      <c r="E60" s="239"/>
      <c r="F60" s="5"/>
      <c r="G60" s="5"/>
      <c r="H60" s="5"/>
      <c r="I60" s="5"/>
      <c r="J60" s="5"/>
      <c r="K60" s="5"/>
    </row>
    <row r="61" spans="2:11" ht="15.75" thickBot="1" x14ac:dyDescent="0.3">
      <c r="B61" s="975"/>
      <c r="C61" s="94"/>
      <c r="D61" s="40" t="s">
        <v>531</v>
      </c>
      <c r="E61" s="239"/>
      <c r="F61" s="5"/>
      <c r="G61" s="5"/>
      <c r="H61" s="5"/>
      <c r="I61" s="5"/>
      <c r="J61" s="5"/>
      <c r="K61" s="5"/>
    </row>
    <row r="62" spans="2:11" ht="15.75" thickBot="1" x14ac:dyDescent="0.3">
      <c r="B62" s="976"/>
      <c r="C62" s="2"/>
      <c r="D62" s="40" t="s">
        <v>678</v>
      </c>
      <c r="E62" s="239"/>
      <c r="F62" s="5"/>
      <c r="G62" s="5"/>
      <c r="H62" s="5"/>
      <c r="I62" s="5"/>
      <c r="J62" s="5"/>
      <c r="K62" s="5"/>
    </row>
    <row r="63" spans="2:11" ht="15.75" thickBot="1" x14ac:dyDescent="0.3">
      <c r="B63" s="1"/>
      <c r="C63" s="76"/>
      <c r="D63" s="5"/>
      <c r="E63" s="5"/>
      <c r="F63" s="5"/>
      <c r="G63" s="5"/>
      <c r="H63" s="5"/>
      <c r="I63" s="5"/>
      <c r="J63" s="5"/>
      <c r="K63" s="5"/>
    </row>
    <row r="64" spans="2:11" ht="15" customHeight="1" thickBot="1" x14ac:dyDescent="0.3">
      <c r="B64" s="119" t="s">
        <v>682</v>
      </c>
      <c r="C64" s="120"/>
      <c r="D64" s="120"/>
      <c r="E64" s="121"/>
      <c r="G64" s="5"/>
      <c r="H64" s="5"/>
      <c r="I64" s="5"/>
      <c r="J64" s="5"/>
      <c r="K64" s="5"/>
    </row>
    <row r="65" spans="2:11" ht="24.75" thickBot="1" x14ac:dyDescent="0.3">
      <c r="B65" s="47" t="s">
        <v>683</v>
      </c>
      <c r="C65" s="40" t="s">
        <v>684</v>
      </c>
      <c r="D65" s="40" t="s">
        <v>685</v>
      </c>
      <c r="E65" s="40" t="s">
        <v>686</v>
      </c>
      <c r="F65" s="5"/>
      <c r="G65" s="5"/>
      <c r="H65" s="5"/>
      <c r="I65" s="5"/>
      <c r="J65" s="5"/>
    </row>
    <row r="66" spans="2:11" ht="96.75" thickBot="1" x14ac:dyDescent="0.3">
      <c r="B66" s="49">
        <v>42401</v>
      </c>
      <c r="C66" s="40">
        <v>0.01</v>
      </c>
      <c r="D66" s="68" t="s">
        <v>915</v>
      </c>
      <c r="E66" s="40"/>
      <c r="F66" s="5"/>
      <c r="G66" s="5"/>
      <c r="H66" s="5"/>
      <c r="I66" s="5"/>
      <c r="J66" s="5"/>
    </row>
    <row r="67" spans="2:11" ht="15.75" thickBot="1" x14ac:dyDescent="0.3">
      <c r="B67" s="3"/>
      <c r="C67" s="95"/>
      <c r="D67" s="5"/>
      <c r="E67" s="5"/>
      <c r="F67" s="5"/>
      <c r="G67" s="5"/>
      <c r="H67" s="5"/>
      <c r="I67" s="5"/>
      <c r="J67" s="5"/>
      <c r="K67" s="5"/>
    </row>
    <row r="68" spans="2:11" x14ac:dyDescent="0.25">
      <c r="B68" s="129" t="s">
        <v>593</v>
      </c>
      <c r="C68" s="96"/>
      <c r="D68" s="5"/>
      <c r="E68" s="5"/>
      <c r="F68" s="5"/>
      <c r="G68" s="5"/>
      <c r="H68" s="5"/>
      <c r="I68" s="5"/>
      <c r="J68" s="5"/>
      <c r="K68" s="5"/>
    </row>
    <row r="69" spans="2:11" x14ac:dyDescent="0.25">
      <c r="B69" s="1018"/>
      <c r="C69" s="1019"/>
      <c r="D69" s="1019"/>
      <c r="E69" s="1020"/>
      <c r="F69" s="5"/>
      <c r="G69" s="5"/>
      <c r="H69" s="5"/>
      <c r="I69" s="5"/>
      <c r="J69" s="5"/>
      <c r="K69" s="5"/>
    </row>
    <row r="70" spans="2:11" ht="15.75" thickBot="1" x14ac:dyDescent="0.3">
      <c r="B70" s="5"/>
      <c r="D70" s="5"/>
      <c r="E70" s="5"/>
      <c r="F70" s="5"/>
      <c r="G70" s="5"/>
      <c r="H70" s="5"/>
      <c r="I70" s="5"/>
      <c r="J70" s="5"/>
      <c r="K70" s="5"/>
    </row>
    <row r="71" spans="2:11" ht="15.75" thickBot="1" x14ac:dyDescent="0.3">
      <c r="B71" s="971" t="s">
        <v>688</v>
      </c>
      <c r="C71" s="972"/>
      <c r="D71" s="973"/>
      <c r="E71" s="5"/>
      <c r="F71" s="5"/>
      <c r="G71" s="5"/>
      <c r="H71" s="5"/>
      <c r="I71" s="5"/>
      <c r="J71" s="5"/>
      <c r="K71" s="5"/>
    </row>
    <row r="72" spans="2:11" ht="120.75" thickBot="1" x14ac:dyDescent="0.3">
      <c r="B72" s="47" t="s">
        <v>689</v>
      </c>
      <c r="C72" s="2"/>
      <c r="D72" s="40" t="s">
        <v>916</v>
      </c>
      <c r="E72" s="5"/>
      <c r="F72" s="5"/>
      <c r="G72" s="5"/>
      <c r="H72" s="5"/>
      <c r="I72" s="5"/>
      <c r="J72" s="5"/>
      <c r="K72" s="5"/>
    </row>
    <row r="73" spans="2:11" x14ac:dyDescent="0.25">
      <c r="B73" s="974" t="s">
        <v>691</v>
      </c>
      <c r="C73" s="94"/>
      <c r="D73" s="53" t="s">
        <v>692</v>
      </c>
      <c r="E73" s="5"/>
      <c r="F73" s="5"/>
      <c r="G73" s="5"/>
      <c r="H73" s="5"/>
      <c r="I73" s="5"/>
      <c r="J73" s="5"/>
      <c r="K73" s="5"/>
    </row>
    <row r="74" spans="2:11" ht="96" x14ac:dyDescent="0.25">
      <c r="B74" s="975"/>
      <c r="C74" s="94"/>
      <c r="D74" s="46" t="s">
        <v>917</v>
      </c>
      <c r="E74" s="5"/>
      <c r="F74" s="5"/>
      <c r="G74" s="5"/>
      <c r="H74" s="5"/>
      <c r="I74" s="5"/>
      <c r="J74" s="5"/>
      <c r="K74" s="5"/>
    </row>
    <row r="75" spans="2:11" ht="60" x14ac:dyDescent="0.25">
      <c r="B75" s="975"/>
      <c r="C75" s="94"/>
      <c r="D75" s="46" t="s">
        <v>918</v>
      </c>
      <c r="E75" s="5"/>
      <c r="F75" s="5"/>
      <c r="G75" s="5"/>
      <c r="H75" s="5"/>
      <c r="I75" s="5"/>
      <c r="J75" s="5"/>
      <c r="K75" s="5"/>
    </row>
    <row r="76" spans="2:11" x14ac:dyDescent="0.25">
      <c r="B76" s="975"/>
      <c r="C76" s="94"/>
      <c r="D76" s="53" t="s">
        <v>695</v>
      </c>
      <c r="E76" s="5"/>
      <c r="F76" s="5"/>
      <c r="G76" s="5"/>
      <c r="H76" s="5"/>
      <c r="I76" s="5"/>
      <c r="J76" s="5"/>
      <c r="K76" s="5"/>
    </row>
    <row r="77" spans="2:11" ht="24" x14ac:dyDescent="0.25">
      <c r="B77" s="975"/>
      <c r="C77" s="94"/>
      <c r="D77" s="46" t="s">
        <v>919</v>
      </c>
      <c r="E77" s="5"/>
      <c r="F77" s="5"/>
      <c r="G77" s="5"/>
      <c r="H77" s="5"/>
      <c r="I77" s="5"/>
      <c r="J77" s="5"/>
      <c r="K77" s="5"/>
    </row>
    <row r="78" spans="2:11" ht="48" x14ac:dyDescent="0.25">
      <c r="B78" s="975"/>
      <c r="C78" s="94"/>
      <c r="D78" s="46" t="s">
        <v>920</v>
      </c>
      <c r="E78" s="5"/>
      <c r="F78" s="5"/>
      <c r="G78" s="5"/>
      <c r="H78" s="5"/>
      <c r="I78" s="5"/>
      <c r="J78" s="5"/>
      <c r="K78" s="5"/>
    </row>
    <row r="79" spans="2:11" x14ac:dyDescent="0.25">
      <c r="B79" s="975"/>
      <c r="C79" s="94"/>
      <c r="D79" s="46" t="s">
        <v>921</v>
      </c>
      <c r="E79" s="5"/>
      <c r="F79" s="5"/>
      <c r="G79" s="5"/>
      <c r="H79" s="5"/>
      <c r="I79" s="5"/>
      <c r="J79" s="5"/>
      <c r="K79" s="5"/>
    </row>
    <row r="80" spans="2:11" ht="36" x14ac:dyDescent="0.25">
      <c r="B80" s="975"/>
      <c r="C80" s="94"/>
      <c r="D80" s="46" t="s">
        <v>922</v>
      </c>
      <c r="E80" s="5"/>
      <c r="F80" s="5"/>
      <c r="G80" s="5"/>
      <c r="H80" s="5"/>
      <c r="I80" s="5"/>
      <c r="J80" s="5"/>
      <c r="K80" s="5"/>
    </row>
    <row r="81" spans="2:11" x14ac:dyDescent="0.25">
      <c r="B81" s="975"/>
      <c r="C81" s="94"/>
      <c r="D81" s="53" t="s">
        <v>923</v>
      </c>
      <c r="E81" s="5"/>
      <c r="F81" s="5"/>
      <c r="G81" s="5"/>
      <c r="H81" s="5"/>
      <c r="I81" s="5"/>
      <c r="J81" s="5"/>
      <c r="K81" s="5"/>
    </row>
    <row r="82" spans="2:11" x14ac:dyDescent="0.25">
      <c r="B82" s="975"/>
      <c r="C82" s="94"/>
      <c r="D82" s="46" t="s">
        <v>924</v>
      </c>
      <c r="E82" s="5"/>
      <c r="F82" s="5"/>
      <c r="G82" s="5"/>
      <c r="H82" s="5"/>
      <c r="I82" s="5"/>
      <c r="J82" s="5"/>
      <c r="K82" s="5"/>
    </row>
    <row r="83" spans="2:11" ht="36" x14ac:dyDescent="0.25">
      <c r="B83" s="975"/>
      <c r="C83" s="94"/>
      <c r="D83" s="46" t="s">
        <v>925</v>
      </c>
      <c r="E83" s="5"/>
      <c r="F83" s="5"/>
      <c r="G83" s="5"/>
      <c r="H83" s="5"/>
      <c r="I83" s="5"/>
      <c r="J83" s="5"/>
      <c r="K83" s="5"/>
    </row>
    <row r="84" spans="2:11" ht="45.75" thickBot="1" x14ac:dyDescent="0.3">
      <c r="B84" s="976"/>
      <c r="C84" s="2"/>
      <c r="D84" s="258" t="s">
        <v>926</v>
      </c>
      <c r="E84" s="5"/>
      <c r="F84" s="5"/>
      <c r="G84" s="5"/>
      <c r="H84" s="5"/>
      <c r="I84" s="5"/>
      <c r="J84" s="5"/>
      <c r="K84" s="5"/>
    </row>
    <row r="85" spans="2:11" ht="24.75" thickBot="1" x14ac:dyDescent="0.3">
      <c r="B85" s="47" t="s">
        <v>704</v>
      </c>
      <c r="C85" s="2"/>
      <c r="D85" s="40"/>
      <c r="E85" s="5"/>
      <c r="F85" s="5"/>
      <c r="G85" s="5"/>
      <c r="H85" s="5"/>
      <c r="I85" s="5"/>
      <c r="J85" s="5"/>
      <c r="K85" s="5"/>
    </row>
    <row r="86" spans="2:11" ht="228" x14ac:dyDescent="0.25">
      <c r="B86" s="974" t="s">
        <v>705</v>
      </c>
      <c r="C86" s="94"/>
      <c r="D86" s="46" t="s">
        <v>927</v>
      </c>
      <c r="E86" s="5"/>
      <c r="F86" s="5"/>
      <c r="G86" s="5"/>
      <c r="H86" s="5"/>
      <c r="I86" s="5"/>
      <c r="J86" s="5"/>
      <c r="K86" s="5"/>
    </row>
    <row r="87" spans="2:11" ht="180" x14ac:dyDescent="0.25">
      <c r="B87" s="975"/>
      <c r="C87" s="94"/>
      <c r="D87" s="46" t="s">
        <v>928</v>
      </c>
      <c r="E87" s="5"/>
      <c r="F87" s="5"/>
      <c r="G87" s="5"/>
      <c r="H87" s="5"/>
      <c r="I87" s="5"/>
      <c r="J87" s="5"/>
      <c r="K87" s="5"/>
    </row>
    <row r="88" spans="2:11" ht="72" x14ac:dyDescent="0.25">
      <c r="B88" s="975"/>
      <c r="C88" s="94"/>
      <c r="D88" s="46" t="s">
        <v>929</v>
      </c>
      <c r="E88" s="5"/>
      <c r="F88" s="5"/>
      <c r="G88" s="5"/>
      <c r="H88" s="5"/>
      <c r="I88" s="5"/>
      <c r="J88" s="5"/>
      <c r="K88" s="5"/>
    </row>
    <row r="89" spans="2:11" ht="24" x14ac:dyDescent="0.25">
      <c r="B89" s="975"/>
      <c r="C89" s="94"/>
      <c r="D89" s="46" t="s">
        <v>930</v>
      </c>
      <c r="E89" s="5"/>
      <c r="F89" s="5"/>
      <c r="G89" s="5"/>
      <c r="H89" s="5"/>
      <c r="I89" s="5"/>
      <c r="J89" s="5"/>
      <c r="K89" s="5"/>
    </row>
    <row r="90" spans="2:11" ht="72" x14ac:dyDescent="0.25">
      <c r="B90" s="975"/>
      <c r="C90" s="94"/>
      <c r="D90" s="61" t="s">
        <v>931</v>
      </c>
      <c r="E90" s="5"/>
      <c r="F90" s="5"/>
      <c r="G90" s="5"/>
      <c r="H90" s="5"/>
      <c r="I90" s="5"/>
      <c r="J90" s="5"/>
      <c r="K90" s="5"/>
    </row>
    <row r="91" spans="2:11" ht="84" x14ac:dyDescent="0.25">
      <c r="B91" s="975"/>
      <c r="C91" s="94"/>
      <c r="D91" s="61" t="s">
        <v>932</v>
      </c>
      <c r="E91" s="5"/>
      <c r="F91" s="5"/>
      <c r="G91" s="5"/>
      <c r="H91" s="5"/>
      <c r="I91" s="5"/>
      <c r="J91" s="5"/>
      <c r="K91" s="5"/>
    </row>
    <row r="92" spans="2:11" ht="36" x14ac:dyDescent="0.25">
      <c r="B92" s="975"/>
      <c r="C92" s="94"/>
      <c r="D92" s="61" t="s">
        <v>933</v>
      </c>
      <c r="E92" s="5"/>
      <c r="F92" s="5"/>
      <c r="G92" s="5"/>
      <c r="H92" s="5"/>
      <c r="I92" s="5"/>
      <c r="J92" s="5"/>
      <c r="K92" s="5"/>
    </row>
    <row r="93" spans="2:11" ht="36" x14ac:dyDescent="0.25">
      <c r="B93" s="975"/>
      <c r="C93" s="94"/>
      <c r="D93" s="61" t="s">
        <v>934</v>
      </c>
      <c r="E93" s="5"/>
      <c r="F93" s="5"/>
      <c r="G93" s="5"/>
      <c r="H93" s="5"/>
      <c r="I93" s="5"/>
      <c r="J93" s="5"/>
      <c r="K93" s="5"/>
    </row>
    <row r="94" spans="2:11" ht="48" x14ac:dyDescent="0.25">
      <c r="B94" s="975"/>
      <c r="C94" s="94"/>
      <c r="D94" s="61" t="s">
        <v>935</v>
      </c>
      <c r="E94" s="5"/>
      <c r="F94" s="5"/>
      <c r="G94" s="5"/>
      <c r="H94" s="5"/>
      <c r="I94" s="5"/>
      <c r="J94" s="5"/>
      <c r="K94" s="5"/>
    </row>
    <row r="95" spans="2:11" ht="60.75" thickBot="1" x14ac:dyDescent="0.3">
      <c r="B95" s="976"/>
      <c r="C95" s="2"/>
      <c r="D95" s="62" t="s">
        <v>936</v>
      </c>
      <c r="E95" s="5"/>
      <c r="F95" s="5"/>
      <c r="G95" s="5"/>
      <c r="H95" s="5"/>
      <c r="I95" s="5"/>
      <c r="J95" s="5"/>
      <c r="K95" s="5"/>
    </row>
    <row r="96" spans="2:11" x14ac:dyDescent="0.25">
      <c r="B96" s="974" t="s">
        <v>722</v>
      </c>
      <c r="C96" s="94"/>
      <c r="D96" s="46"/>
      <c r="E96" s="5"/>
      <c r="F96" s="5"/>
      <c r="G96" s="5"/>
      <c r="H96" s="5"/>
      <c r="I96" s="5"/>
      <c r="J96" s="5"/>
      <c r="K96" s="5"/>
    </row>
    <row r="97" spans="2:11" x14ac:dyDescent="0.25">
      <c r="B97" s="975"/>
      <c r="C97" s="94"/>
      <c r="D97" s="16"/>
      <c r="E97" s="5"/>
      <c r="F97" s="5"/>
      <c r="G97" s="5"/>
      <c r="H97" s="5"/>
      <c r="I97" s="5"/>
      <c r="J97" s="5"/>
      <c r="K97" s="5"/>
    </row>
    <row r="98" spans="2:11" x14ac:dyDescent="0.25">
      <c r="B98" s="975"/>
      <c r="C98" s="94"/>
      <c r="D98" s="46" t="s">
        <v>723</v>
      </c>
      <c r="E98" s="5"/>
      <c r="F98" s="5"/>
      <c r="G98" s="5"/>
      <c r="H98" s="5"/>
      <c r="I98" s="5"/>
      <c r="J98" s="5"/>
      <c r="K98" s="5"/>
    </row>
    <row r="99" spans="2:11" ht="61.5" x14ac:dyDescent="0.25">
      <c r="B99" s="975"/>
      <c r="C99" s="94"/>
      <c r="D99" s="46" t="s">
        <v>937</v>
      </c>
      <c r="E99" s="5"/>
      <c r="F99" s="5"/>
      <c r="G99" s="5"/>
      <c r="H99" s="5"/>
      <c r="I99" s="5"/>
      <c r="J99" s="5"/>
      <c r="K99" s="5"/>
    </row>
    <row r="100" spans="2:11" ht="61.5" x14ac:dyDescent="0.25">
      <c r="B100" s="975"/>
      <c r="C100" s="94"/>
      <c r="D100" s="46" t="s">
        <v>938</v>
      </c>
      <c r="E100" s="5"/>
      <c r="F100" s="5"/>
      <c r="G100" s="5"/>
      <c r="H100" s="5"/>
      <c r="I100" s="5"/>
      <c r="J100" s="5"/>
      <c r="K100" s="5"/>
    </row>
    <row r="101" spans="2:11" ht="62.25" thickBot="1" x14ac:dyDescent="0.3">
      <c r="B101" s="976"/>
      <c r="C101" s="2"/>
      <c r="D101" s="40" t="s">
        <v>939</v>
      </c>
      <c r="E101" s="5"/>
      <c r="F101" s="5"/>
      <c r="G101" s="5"/>
      <c r="H101" s="5"/>
      <c r="I101" s="5"/>
      <c r="J101" s="5"/>
      <c r="K101" s="5"/>
    </row>
  </sheetData>
  <mergeCells count="29">
    <mergeCell ref="A1:P1"/>
    <mergeCell ref="A2:P2"/>
    <mergeCell ref="A3:P3"/>
    <mergeCell ref="A4:D4"/>
    <mergeCell ref="A5:P5"/>
    <mergeCell ref="B71:D71"/>
    <mergeCell ref="B73:B84"/>
    <mergeCell ref="B86:B95"/>
    <mergeCell ref="B96:B101"/>
    <mergeCell ref="C21:C22"/>
    <mergeCell ref="D21:D22"/>
    <mergeCell ref="B56:B62"/>
    <mergeCell ref="B69:E69"/>
    <mergeCell ref="D44:I44"/>
    <mergeCell ref="B46:E46"/>
    <mergeCell ref="D43:I43"/>
    <mergeCell ref="E21:E22"/>
    <mergeCell ref="F21:F22"/>
    <mergeCell ref="G21:G22"/>
    <mergeCell ref="B47:B53"/>
    <mergeCell ref="B55:E55"/>
    <mergeCell ref="D20:I20"/>
    <mergeCell ref="B15:B20"/>
    <mergeCell ref="D15:I15"/>
    <mergeCell ref="B10:D10"/>
    <mergeCell ref="F10:S10"/>
    <mergeCell ref="F11:S11"/>
    <mergeCell ref="E12:R12"/>
    <mergeCell ref="E13:R13"/>
  </mergeCells>
  <conditionalFormatting sqref="E12:R12">
    <cfRule type="expression" dxfId="98" priority="1">
      <formula>E11="SI SE REPORTA"</formula>
    </cfRule>
  </conditionalFormatting>
  <conditionalFormatting sqref="F10">
    <cfRule type="notContainsBlanks" dxfId="97" priority="4">
      <formula>LEN(TRIM(F10))&gt;0</formula>
    </cfRule>
  </conditionalFormatting>
  <conditionalFormatting sqref="F11:S11">
    <cfRule type="expression" dxfId="96" priority="2">
      <formula>E11="NO SE REPORTA"</formula>
    </cfRule>
    <cfRule type="expression" dxfId="95" priority="3">
      <formula>E10="NO APLICA"</formula>
    </cfRule>
  </conditionalFormatting>
  <dataValidations count="3">
    <dataValidation type="list" allowBlank="1" showInputMessage="1" showErrorMessage="1" sqref="E10" xr:uid="{00000000-0002-0000-0F00-000002000000}">
      <formula1>SI</formula1>
    </dataValidation>
    <dataValidation type="list" allowBlank="1" showInputMessage="1" showErrorMessage="1" sqref="E11" xr:uid="{00000000-0002-0000-0F00-000001000000}">
      <formula1>REPORTE</formula1>
    </dataValidation>
    <dataValidation type="whole" operator="greaterThanOrEqual" allowBlank="1" showErrorMessage="1" errorTitle="ERROR" error="Escriba un número igual o mayor que 0" promptTitle="ERROR" prompt="Escriba un número igual o mayor que 0" sqref="E17:H18 E23:E42" xr:uid="{00000000-0002-0000-0F00-000000000000}">
      <formula1>0</formula1>
    </dataValidation>
  </dataValidations>
  <hyperlinks>
    <hyperlink ref="D84" r:id="rId1" display="http://cambioclimatico.minambiente.gov.co/" xr:uid="{635FA379-C351-43A6-BE09-673802D58F2C}"/>
    <hyperlink ref="B9" location="'ANEXO 3'!A1" display="VOLVER AL INDICE" xr:uid="{7C9CF91E-80CB-4218-8091-7DB66B6C2D6A}"/>
    <hyperlink ref="E51" r:id="rId2" xr:uid="{13A098F7-C5FE-4F53-9261-76E71B9467F2}"/>
  </hyperlinks>
  <pageMargins left="0.25" right="0.25" top="0.75" bottom="0.75" header="0.3" footer="0.3"/>
  <pageSetup paperSize="178" orientation="landscape" horizontalDpi="1200" verticalDpi="1200"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BBBD1-3806-46C4-8EC2-32B446067D43}">
  <dimension ref="A1:U99"/>
  <sheetViews>
    <sheetView showGridLines="0" topLeftCell="A10" zoomScale="98" zoomScaleNormal="98" workbookViewId="0">
      <selection activeCell="I18" sqref="I18"/>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15</v>
      </c>
      <c r="B5" s="998"/>
      <c r="C5" s="998"/>
      <c r="D5" s="998"/>
      <c r="E5" s="998"/>
      <c r="F5" s="998"/>
      <c r="G5" s="998"/>
      <c r="H5" s="998"/>
      <c r="I5" s="998"/>
      <c r="J5" s="998"/>
      <c r="K5" s="998"/>
      <c r="L5" s="998"/>
      <c r="M5" s="998"/>
      <c r="N5" s="998"/>
      <c r="O5" s="998"/>
      <c r="P5" s="999"/>
    </row>
    <row r="6" spans="1:21" x14ac:dyDescent="0.25">
      <c r="B6" s="1" t="s">
        <v>626</v>
      </c>
      <c r="C6" s="76"/>
      <c r="D6" s="5"/>
      <c r="E6" s="74"/>
      <c r="F6" s="5" t="s">
        <v>627</v>
      </c>
      <c r="G6" s="5"/>
      <c r="H6" s="5"/>
      <c r="I6" s="5"/>
      <c r="J6" s="5"/>
      <c r="K6" s="5"/>
    </row>
    <row r="7" spans="1:21" ht="15.75" thickBot="1" x14ac:dyDescent="0.3">
      <c r="B7" s="75"/>
      <c r="C7" s="77"/>
      <c r="D7" s="5"/>
      <c r="E7" s="17"/>
      <c r="F7" s="5" t="s">
        <v>628</v>
      </c>
      <c r="G7" s="5"/>
      <c r="H7" s="5"/>
      <c r="I7" s="5"/>
      <c r="J7" s="5"/>
      <c r="K7" s="5"/>
    </row>
    <row r="8" spans="1:21" ht="15.75" thickBot="1" x14ac:dyDescent="0.3">
      <c r="B8" s="171" t="s">
        <v>629</v>
      </c>
      <c r="C8" s="211">
        <v>2024</v>
      </c>
      <c r="D8" s="216">
        <f>IF(E10="NO APLICA","NO APLICA",IF(E11="NO SE REPORTA","SIN INFORMACION",+G19))</f>
        <v>0</v>
      </c>
      <c r="E8" s="212"/>
      <c r="F8" s="5" t="s">
        <v>630</v>
      </c>
      <c r="G8" s="5"/>
      <c r="H8" s="5"/>
      <c r="I8" s="5"/>
      <c r="J8" s="5"/>
      <c r="K8" s="5"/>
    </row>
    <row r="9" spans="1:21" x14ac:dyDescent="0.25">
      <c r="B9" s="358" t="s">
        <v>631</v>
      </c>
      <c r="D9" s="5"/>
      <c r="E9" s="5"/>
      <c r="F9" s="5"/>
      <c r="G9" s="5"/>
      <c r="H9" s="5"/>
      <c r="I9" s="5"/>
      <c r="J9" s="5"/>
      <c r="K9" s="5"/>
    </row>
    <row r="10" spans="1:21" x14ac:dyDescent="0.25">
      <c r="B10" s="1008" t="s">
        <v>632</v>
      </c>
      <c r="C10" s="1008"/>
      <c r="D10" s="1008"/>
      <c r="E10" s="361" t="s">
        <v>633</v>
      </c>
      <c r="F10" s="99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96"/>
      <c r="H10" s="996"/>
      <c r="I10" s="996"/>
      <c r="J10" s="996"/>
      <c r="K10" s="996"/>
      <c r="L10" s="996"/>
      <c r="M10" s="996"/>
      <c r="N10" s="996"/>
      <c r="O10" s="996"/>
      <c r="P10" s="996"/>
      <c r="Q10" s="996"/>
      <c r="R10" s="996"/>
      <c r="S10" s="996"/>
      <c r="T10" s="5"/>
      <c r="U10" s="5"/>
    </row>
    <row r="11" spans="1:21" ht="14.45" customHeight="1" x14ac:dyDescent="0.25">
      <c r="B11" s="360"/>
      <c r="C11" s="88"/>
      <c r="D11" s="171" t="str">
        <f>IF(E10="SI APLICA","¿El indicador no se reporta por limitaciones de información disponible? ","")</f>
        <v xml:space="preserve">¿El indicador no se reporta por limitaciones de información disponible? </v>
      </c>
      <c r="E11" s="362" t="s">
        <v>634</v>
      </c>
      <c r="F11" s="1009"/>
      <c r="G11" s="1010"/>
      <c r="H11" s="1010"/>
      <c r="I11" s="1010"/>
      <c r="J11" s="1010"/>
      <c r="K11" s="1010"/>
      <c r="L11" s="1010"/>
      <c r="M11" s="1010"/>
      <c r="N11" s="1010"/>
      <c r="O11" s="1010"/>
      <c r="P11" s="1010"/>
      <c r="Q11" s="1010"/>
      <c r="R11" s="1010"/>
      <c r="S11" s="1010"/>
    </row>
    <row r="12" spans="1:21" ht="36.6" customHeight="1" x14ac:dyDescent="0.25">
      <c r="B12" s="358"/>
      <c r="C12" s="88"/>
      <c r="D12" s="171" t="str">
        <f>IF(E11="SI SE REPORTA","¿Qué programas o proyectos del Plan de Acción están asociados al indicador? ","")</f>
        <v xml:space="preserve">¿Qué programas o proyectos del Plan de Acción están asociados al indicador? </v>
      </c>
      <c r="E12" s="1011" t="s">
        <v>2313</v>
      </c>
      <c r="F12" s="1011"/>
      <c r="G12" s="1011"/>
      <c r="H12" s="1011"/>
      <c r="I12" s="1011"/>
      <c r="J12" s="1011"/>
      <c r="K12" s="1011"/>
      <c r="L12" s="1011"/>
      <c r="M12" s="1011"/>
      <c r="N12" s="1011"/>
      <c r="O12" s="1011"/>
      <c r="P12" s="1011"/>
      <c r="Q12" s="1011"/>
      <c r="R12" s="1011"/>
    </row>
    <row r="13" spans="1:21" ht="21.95" customHeight="1" x14ac:dyDescent="0.25">
      <c r="B13" s="358"/>
      <c r="C13" s="88"/>
      <c r="D13" s="171" t="s">
        <v>635</v>
      </c>
      <c r="E13" s="1012"/>
      <c r="F13" s="1013"/>
      <c r="G13" s="1013"/>
      <c r="H13" s="1013"/>
      <c r="I13" s="1013"/>
      <c r="J13" s="1013"/>
      <c r="K13" s="1013"/>
      <c r="L13" s="1013"/>
      <c r="M13" s="1013"/>
      <c r="N13" s="1013"/>
      <c r="O13" s="1013"/>
      <c r="P13" s="1013"/>
      <c r="Q13" s="1013"/>
      <c r="R13" s="1014"/>
    </row>
    <row r="14" spans="1:21" ht="6.95" customHeight="1" thickBot="1" x14ac:dyDescent="0.3">
      <c r="B14" s="358"/>
      <c r="D14" s="5"/>
      <c r="E14" s="5"/>
      <c r="F14" s="5"/>
      <c r="G14" s="5"/>
      <c r="H14" s="5"/>
      <c r="I14" s="5"/>
      <c r="J14" s="5"/>
      <c r="K14" s="5"/>
    </row>
    <row r="15" spans="1:21" ht="15.6" customHeight="1" thickTop="1" thickBot="1" x14ac:dyDescent="0.3">
      <c r="B15" s="1044" t="s">
        <v>636</v>
      </c>
      <c r="C15" s="89"/>
      <c r="D15" s="956" t="s">
        <v>940</v>
      </c>
      <c r="E15" s="957"/>
      <c r="F15" s="957"/>
      <c r="G15" s="957"/>
      <c r="H15" s="957"/>
      <c r="I15" s="957"/>
      <c r="J15" s="957"/>
      <c r="K15" s="958"/>
    </row>
    <row r="16" spans="1:21" ht="15.75" thickBot="1" x14ac:dyDescent="0.3">
      <c r="A16" s="188"/>
      <c r="B16" s="951"/>
      <c r="C16" s="98" t="s">
        <v>585</v>
      </c>
      <c r="D16" s="43" t="s">
        <v>941</v>
      </c>
      <c r="E16" s="43" t="s">
        <v>587</v>
      </c>
      <c r="F16" s="43" t="s">
        <v>588</v>
      </c>
      <c r="G16" s="43" t="s">
        <v>589</v>
      </c>
      <c r="H16" s="43" t="s">
        <v>590</v>
      </c>
      <c r="I16" s="180"/>
      <c r="J16" s="188"/>
      <c r="K16" s="21"/>
    </row>
    <row r="17" spans="2:11" ht="24.75" thickBot="1" x14ac:dyDescent="0.3">
      <c r="B17" s="951"/>
      <c r="C17" s="2" t="s">
        <v>765</v>
      </c>
      <c r="D17" s="40" t="s">
        <v>942</v>
      </c>
      <c r="E17" s="207">
        <v>1</v>
      </c>
      <c r="F17" s="207">
        <v>1</v>
      </c>
      <c r="G17" s="207">
        <v>1</v>
      </c>
      <c r="H17" s="207">
        <v>1</v>
      </c>
      <c r="I17" s="189"/>
      <c r="J17" s="188"/>
      <c r="K17" s="21"/>
    </row>
    <row r="18" spans="2:11" ht="24.75" thickBot="1" x14ac:dyDescent="0.3">
      <c r="B18" s="951"/>
      <c r="C18" s="2" t="s">
        <v>767</v>
      </c>
      <c r="D18" s="40" t="s">
        <v>943</v>
      </c>
      <c r="E18" s="207"/>
      <c r="F18" s="207"/>
      <c r="G18" s="207"/>
      <c r="H18" s="207"/>
      <c r="I18" s="189"/>
      <c r="J18" s="188"/>
      <c r="K18" s="21"/>
    </row>
    <row r="19" spans="2:11" ht="24.75" thickBot="1" x14ac:dyDescent="0.3">
      <c r="B19" s="951"/>
      <c r="C19" s="2" t="s">
        <v>769</v>
      </c>
      <c r="D19" s="40" t="s">
        <v>944</v>
      </c>
      <c r="E19" s="185">
        <f>IFERROR(E18/E17,"N.A.")</f>
        <v>0</v>
      </c>
      <c r="F19" s="185">
        <f>IFERROR(F18/F17,"N.A.")</f>
        <v>0</v>
      </c>
      <c r="G19" s="185">
        <f>IFERROR(G18/G17,"N.A.")</f>
        <v>0</v>
      </c>
      <c r="H19" s="185">
        <f>IFERROR(H18/H17,"N.A.")</f>
        <v>0</v>
      </c>
      <c r="I19" s="185"/>
      <c r="K19" s="21"/>
    </row>
    <row r="20" spans="2:11" x14ac:dyDescent="0.25">
      <c r="B20" s="218"/>
      <c r="C20" s="92"/>
      <c r="D20" s="1051" t="s">
        <v>945</v>
      </c>
      <c r="E20" s="1052"/>
      <c r="F20" s="1052"/>
      <c r="G20" s="1052"/>
      <c r="H20" s="1052"/>
      <c r="I20" s="1052"/>
      <c r="J20" s="1052"/>
      <c r="K20" s="1053"/>
    </row>
    <row r="21" spans="2:11" x14ac:dyDescent="0.25">
      <c r="B21" s="218"/>
      <c r="C21" s="92"/>
      <c r="D21" s="959" t="s">
        <v>866</v>
      </c>
      <c r="E21" s="960"/>
      <c r="F21" s="960"/>
      <c r="G21" s="960"/>
      <c r="H21" s="960"/>
      <c r="I21" s="960"/>
      <c r="J21" s="960"/>
      <c r="K21" s="961"/>
    </row>
    <row r="22" spans="2:11" x14ac:dyDescent="0.25">
      <c r="B22" s="218"/>
      <c r="C22" s="92"/>
      <c r="D22" s="959" t="s">
        <v>946</v>
      </c>
      <c r="E22" s="960"/>
      <c r="F22" s="960"/>
      <c r="G22" s="960"/>
      <c r="H22" s="960"/>
      <c r="I22" s="960"/>
      <c r="J22" s="960"/>
      <c r="K22" s="961"/>
    </row>
    <row r="23" spans="2:11" ht="15.75" thickBot="1" x14ac:dyDescent="0.3">
      <c r="B23" s="218"/>
      <c r="C23" s="92"/>
      <c r="D23" s="986" t="s">
        <v>947</v>
      </c>
      <c r="E23" s="987"/>
      <c r="F23" s="987"/>
      <c r="G23" s="987"/>
      <c r="H23" s="987"/>
      <c r="I23" s="987"/>
      <c r="J23" s="987"/>
      <c r="K23" s="988"/>
    </row>
    <row r="24" spans="2:11" ht="36.75" thickBot="1" x14ac:dyDescent="0.3">
      <c r="B24" s="218"/>
      <c r="C24" s="98" t="s">
        <v>585</v>
      </c>
      <c r="D24" s="43" t="s">
        <v>868</v>
      </c>
      <c r="E24" s="43" t="s">
        <v>948</v>
      </c>
      <c r="F24" s="43" t="s">
        <v>949</v>
      </c>
      <c r="G24" s="43" t="s">
        <v>950</v>
      </c>
      <c r="H24" s="43" t="s">
        <v>951</v>
      </c>
      <c r="I24" s="43" t="s">
        <v>872</v>
      </c>
      <c r="J24" s="43" t="s">
        <v>873</v>
      </c>
      <c r="K24" s="43" t="s">
        <v>593</v>
      </c>
    </row>
    <row r="25" spans="2:11" s="188" customFormat="1" ht="15.75" thickBot="1" x14ac:dyDescent="0.3">
      <c r="B25" s="217"/>
      <c r="C25" s="8">
        <v>1</v>
      </c>
      <c r="D25" s="30"/>
      <c r="E25" s="30"/>
      <c r="F25" s="207"/>
      <c r="G25" s="207"/>
      <c r="H25" s="207"/>
      <c r="I25" s="207"/>
      <c r="J25" s="207"/>
      <c r="K25" s="207"/>
    </row>
    <row r="26" spans="2:11" s="188" customFormat="1" ht="15.75" thickBot="1" x14ac:dyDescent="0.3">
      <c r="B26" s="217"/>
      <c r="C26" s="8">
        <v>2</v>
      </c>
      <c r="D26" s="30"/>
      <c r="E26" s="30"/>
      <c r="F26" s="207"/>
      <c r="G26" s="207"/>
      <c r="H26" s="207"/>
      <c r="I26" s="207"/>
      <c r="J26" s="207"/>
      <c r="K26" s="207"/>
    </row>
    <row r="27" spans="2:11" s="188" customFormat="1" ht="15.75" thickBot="1" x14ac:dyDescent="0.3">
      <c r="B27" s="217"/>
      <c r="C27" s="8">
        <v>3</v>
      </c>
      <c r="D27" s="30"/>
      <c r="E27" s="30"/>
      <c r="F27" s="207"/>
      <c r="G27" s="207"/>
      <c r="H27" s="207"/>
      <c r="I27" s="207"/>
      <c r="J27" s="207"/>
      <c r="K27" s="207"/>
    </row>
    <row r="28" spans="2:11" s="188" customFormat="1" ht="15.75" thickBot="1" x14ac:dyDescent="0.3">
      <c r="B28" s="217"/>
      <c r="C28" s="8">
        <v>4</v>
      </c>
      <c r="D28" s="30"/>
      <c r="E28" s="30"/>
      <c r="F28" s="207"/>
      <c r="G28" s="207"/>
      <c r="H28" s="207"/>
      <c r="I28" s="207"/>
      <c r="J28" s="207"/>
      <c r="K28" s="207"/>
    </row>
    <row r="29" spans="2:11" s="188" customFormat="1" ht="15.75" thickBot="1" x14ac:dyDescent="0.3">
      <c r="B29" s="217"/>
      <c r="C29" s="8">
        <v>5</v>
      </c>
      <c r="D29" s="30"/>
      <c r="E29" s="30"/>
      <c r="F29" s="207"/>
      <c r="G29" s="207"/>
      <c r="H29" s="207"/>
      <c r="I29" s="207"/>
      <c r="J29" s="207"/>
      <c r="K29" s="207"/>
    </row>
    <row r="30" spans="2:11" s="188" customFormat="1" ht="15.75" thickBot="1" x14ac:dyDescent="0.3">
      <c r="B30" s="217"/>
      <c r="C30" s="8">
        <v>6</v>
      </c>
      <c r="D30" s="30"/>
      <c r="E30" s="30"/>
      <c r="F30" s="207"/>
      <c r="G30" s="207"/>
      <c r="H30" s="207"/>
      <c r="I30" s="207"/>
      <c r="J30" s="207"/>
      <c r="K30" s="207"/>
    </row>
    <row r="31" spans="2:11" s="188" customFormat="1" ht="15.75" thickBot="1" x14ac:dyDescent="0.3">
      <c r="B31" s="217"/>
      <c r="C31" s="8">
        <v>7</v>
      </c>
      <c r="D31" s="30"/>
      <c r="E31" s="30"/>
      <c r="F31" s="207"/>
      <c r="G31" s="207"/>
      <c r="H31" s="207"/>
      <c r="I31" s="207"/>
      <c r="J31" s="207"/>
      <c r="K31" s="207"/>
    </row>
    <row r="32" spans="2:11" s="188" customFormat="1" ht="15.75" thickBot="1" x14ac:dyDescent="0.3">
      <c r="B32" s="217"/>
      <c r="C32" s="8">
        <v>8</v>
      </c>
      <c r="D32" s="30"/>
      <c r="E32" s="30"/>
      <c r="F32" s="207"/>
      <c r="G32" s="207"/>
      <c r="H32" s="207"/>
      <c r="I32" s="207"/>
      <c r="J32" s="207"/>
      <c r="K32" s="207"/>
    </row>
    <row r="33" spans="2:11" s="188" customFormat="1" ht="15.75" thickBot="1" x14ac:dyDescent="0.3">
      <c r="B33" s="217"/>
      <c r="C33" s="8">
        <v>9</v>
      </c>
      <c r="D33" s="30"/>
      <c r="E33" s="30"/>
      <c r="F33" s="207"/>
      <c r="G33" s="207"/>
      <c r="H33" s="207"/>
      <c r="I33" s="207"/>
      <c r="J33" s="207"/>
      <c r="K33" s="207"/>
    </row>
    <row r="34" spans="2:11" s="188" customFormat="1" ht="15.75" thickBot="1" x14ac:dyDescent="0.3">
      <c r="B34" s="217"/>
      <c r="C34" s="8">
        <v>10</v>
      </c>
      <c r="D34" s="30"/>
      <c r="E34" s="30"/>
      <c r="F34" s="207"/>
      <c r="G34" s="207"/>
      <c r="H34" s="207"/>
      <c r="I34" s="207"/>
      <c r="J34" s="207"/>
      <c r="K34" s="207"/>
    </row>
    <row r="35" spans="2:11" s="188" customFormat="1" ht="15.75" thickBot="1" x14ac:dyDescent="0.3">
      <c r="B35" s="217"/>
      <c r="C35" s="8">
        <v>11</v>
      </c>
      <c r="D35" s="30"/>
      <c r="E35" s="30"/>
      <c r="F35" s="207"/>
      <c r="G35" s="207"/>
      <c r="H35" s="207"/>
      <c r="I35" s="207"/>
      <c r="J35" s="207"/>
      <c r="K35" s="207"/>
    </row>
    <row r="36" spans="2:11" s="188" customFormat="1" ht="15.75" thickBot="1" x14ac:dyDescent="0.3">
      <c r="B36" s="217"/>
      <c r="C36" s="8">
        <v>12</v>
      </c>
      <c r="D36" s="30"/>
      <c r="E36" s="30"/>
      <c r="F36" s="207"/>
      <c r="G36" s="207"/>
      <c r="H36" s="207"/>
      <c r="I36" s="207"/>
      <c r="J36" s="207"/>
      <c r="K36" s="207"/>
    </row>
    <row r="37" spans="2:11" ht="15.75" thickBot="1" x14ac:dyDescent="0.3">
      <c r="B37" s="47"/>
      <c r="C37" s="2"/>
      <c r="D37" s="40" t="s">
        <v>764</v>
      </c>
      <c r="E37" s="40"/>
      <c r="F37" s="136">
        <f>SUM(F25:F36)</f>
        <v>0</v>
      </c>
      <c r="G37" s="136">
        <f>SUM(G25:G36)</f>
        <v>0</v>
      </c>
      <c r="H37" s="136">
        <f>SUM(H25:H36)</f>
        <v>0</v>
      </c>
      <c r="I37" s="136">
        <f>SUM(I25:I36)</f>
        <v>0</v>
      </c>
      <c r="J37" s="136">
        <f>SUM(J25:J36)</f>
        <v>0</v>
      </c>
      <c r="K37" s="12"/>
    </row>
    <row r="38" spans="2:11" ht="24" customHeight="1" thickBot="1" x14ac:dyDescent="0.3">
      <c r="B38" s="72" t="s">
        <v>671</v>
      </c>
      <c r="C38" s="107"/>
      <c r="D38" s="983" t="s">
        <v>952</v>
      </c>
      <c r="E38" s="984"/>
      <c r="F38" s="984"/>
      <c r="G38" s="984"/>
      <c r="H38" s="984"/>
      <c r="I38" s="984"/>
      <c r="J38" s="984"/>
      <c r="K38" s="985"/>
    </row>
    <row r="39" spans="2:11" ht="24" customHeight="1" thickBot="1" x14ac:dyDescent="0.3">
      <c r="B39" s="72" t="s">
        <v>673</v>
      </c>
      <c r="C39" s="107"/>
      <c r="D39" s="983" t="s">
        <v>953</v>
      </c>
      <c r="E39" s="984"/>
      <c r="F39" s="984"/>
      <c r="G39" s="984"/>
      <c r="H39" s="984"/>
      <c r="I39" s="984"/>
      <c r="J39" s="984"/>
      <c r="K39" s="985"/>
    </row>
    <row r="40" spans="2:11" ht="15.75" thickBot="1" x14ac:dyDescent="0.3">
      <c r="B40" s="1"/>
      <c r="C40" s="76"/>
      <c r="D40" s="5"/>
      <c r="E40" s="5"/>
      <c r="F40" s="5"/>
      <c r="G40" s="5"/>
      <c r="H40" s="5"/>
      <c r="I40" s="5"/>
      <c r="J40" s="5"/>
      <c r="K40" s="5"/>
    </row>
    <row r="41" spans="2:11" ht="24" customHeight="1" thickBot="1" x14ac:dyDescent="0.3">
      <c r="B41" s="971" t="s">
        <v>675</v>
      </c>
      <c r="C41" s="972"/>
      <c r="D41" s="972"/>
      <c r="E41" s="973"/>
      <c r="F41" s="5"/>
      <c r="G41" s="5"/>
      <c r="H41" s="5"/>
      <c r="I41" s="5"/>
      <c r="J41" s="5"/>
      <c r="K41" s="5"/>
    </row>
    <row r="42" spans="2:11" ht="48.75" thickBot="1" x14ac:dyDescent="0.3">
      <c r="B42" s="974">
        <v>1</v>
      </c>
      <c r="C42" s="94"/>
      <c r="D42" s="48" t="s">
        <v>676</v>
      </c>
      <c r="E42" s="337" t="s">
        <v>2301</v>
      </c>
      <c r="F42" s="5"/>
      <c r="G42" s="5"/>
      <c r="H42" s="5"/>
      <c r="I42" s="5"/>
      <c r="J42" s="5"/>
      <c r="K42" s="5"/>
    </row>
    <row r="43" spans="2:11" ht="48.75" thickBot="1" x14ac:dyDescent="0.3">
      <c r="B43" s="975"/>
      <c r="C43" s="94"/>
      <c r="D43" s="40" t="s">
        <v>525</v>
      </c>
      <c r="E43" s="337" t="s">
        <v>2311</v>
      </c>
      <c r="F43" s="5"/>
      <c r="G43" s="5"/>
      <c r="H43" s="5"/>
      <c r="I43" s="5"/>
      <c r="J43" s="5"/>
      <c r="K43" s="5"/>
    </row>
    <row r="44" spans="2:11" ht="36.75" thickBot="1" x14ac:dyDescent="0.3">
      <c r="B44" s="975"/>
      <c r="C44" s="94"/>
      <c r="D44" s="40" t="s">
        <v>677</v>
      </c>
      <c r="E44" s="337" t="s">
        <v>2303</v>
      </c>
      <c r="F44" s="5"/>
      <c r="G44" s="5"/>
      <c r="H44" s="5"/>
      <c r="I44" s="5"/>
      <c r="J44" s="5"/>
      <c r="K44" s="5"/>
    </row>
    <row r="45" spans="2:11" ht="15.75" thickBot="1" x14ac:dyDescent="0.3">
      <c r="B45" s="975"/>
      <c r="C45" s="94"/>
      <c r="D45" s="40" t="s">
        <v>527</v>
      </c>
      <c r="E45" s="337" t="s">
        <v>2304</v>
      </c>
      <c r="F45" s="5"/>
      <c r="G45" s="5"/>
      <c r="H45" s="5"/>
      <c r="I45" s="5"/>
      <c r="J45" s="5"/>
      <c r="K45" s="5"/>
    </row>
    <row r="46" spans="2:11" ht="60.75" thickBot="1" x14ac:dyDescent="0.3">
      <c r="B46" s="975"/>
      <c r="C46" s="94"/>
      <c r="D46" s="40" t="s">
        <v>529</v>
      </c>
      <c r="E46" s="766" t="s">
        <v>2309</v>
      </c>
      <c r="F46" s="5"/>
      <c r="G46" s="5"/>
      <c r="H46" s="5"/>
      <c r="I46" s="5"/>
      <c r="J46" s="5"/>
      <c r="K46" s="5"/>
    </row>
    <row r="47" spans="2:11" ht="15.75" thickBot="1" x14ac:dyDescent="0.3">
      <c r="B47" s="975"/>
      <c r="C47" s="94"/>
      <c r="D47" s="40" t="s">
        <v>531</v>
      </c>
      <c r="E47" s="337">
        <v>5748960</v>
      </c>
      <c r="F47" s="5"/>
      <c r="G47" s="5"/>
      <c r="H47" s="5"/>
      <c r="I47" s="5"/>
      <c r="J47" s="5"/>
      <c r="K47" s="5"/>
    </row>
    <row r="48" spans="2:11" ht="60.75" thickBot="1" x14ac:dyDescent="0.3">
      <c r="B48" s="976"/>
      <c r="C48" s="2"/>
      <c r="D48" s="40" t="s">
        <v>678</v>
      </c>
      <c r="E48" s="337" t="s">
        <v>2312</v>
      </c>
      <c r="F48" s="5"/>
      <c r="G48" s="5"/>
      <c r="H48" s="5"/>
      <c r="I48" s="5"/>
      <c r="J48" s="5"/>
      <c r="K48" s="5"/>
    </row>
    <row r="49" spans="2:11" ht="15.75" thickBot="1" x14ac:dyDescent="0.3">
      <c r="B49" s="1"/>
      <c r="C49" s="76"/>
      <c r="D49" s="5"/>
      <c r="E49" s="5"/>
      <c r="F49" s="5"/>
      <c r="G49" s="5"/>
      <c r="H49" s="5"/>
      <c r="I49" s="5"/>
      <c r="J49" s="5"/>
      <c r="K49" s="5"/>
    </row>
    <row r="50" spans="2:11" ht="15.75" thickBot="1" x14ac:dyDescent="0.3">
      <c r="B50" s="971" t="s">
        <v>679</v>
      </c>
      <c r="C50" s="972"/>
      <c r="D50" s="972"/>
      <c r="E50" s="973"/>
      <c r="F50" s="5"/>
      <c r="G50" s="5"/>
      <c r="H50" s="5"/>
      <c r="I50" s="5"/>
      <c r="J50" s="5"/>
      <c r="K50" s="5"/>
    </row>
    <row r="51" spans="2:11" ht="15.75" thickBot="1" x14ac:dyDescent="0.3">
      <c r="B51" s="974">
        <v>1</v>
      </c>
      <c r="C51" s="94"/>
      <c r="D51" s="48" t="s">
        <v>676</v>
      </c>
      <c r="E51" s="219" t="s">
        <v>680</v>
      </c>
      <c r="F51" s="5"/>
      <c r="G51" s="5"/>
      <c r="H51" s="5"/>
      <c r="I51" s="5"/>
      <c r="J51" s="5"/>
      <c r="K51" s="5"/>
    </row>
    <row r="52" spans="2:11" ht="15.75" thickBot="1" x14ac:dyDescent="0.3">
      <c r="B52" s="975"/>
      <c r="C52" s="94"/>
      <c r="D52" s="40" t="s">
        <v>525</v>
      </c>
      <c r="E52" s="219" t="s">
        <v>773</v>
      </c>
      <c r="F52" s="5"/>
      <c r="G52" s="5"/>
      <c r="H52" s="5"/>
      <c r="I52" s="5"/>
      <c r="J52" s="5"/>
      <c r="K52" s="5"/>
    </row>
    <row r="53" spans="2:11" ht="15.75" thickBot="1" x14ac:dyDescent="0.3">
      <c r="B53" s="975"/>
      <c r="C53" s="94"/>
      <c r="D53" s="40" t="s">
        <v>677</v>
      </c>
      <c r="E53" s="239"/>
      <c r="F53" s="5"/>
      <c r="G53" s="5"/>
      <c r="H53" s="5"/>
      <c r="I53" s="5"/>
      <c r="J53" s="5"/>
      <c r="K53" s="5"/>
    </row>
    <row r="54" spans="2:11" ht="15.75" thickBot="1" x14ac:dyDescent="0.3">
      <c r="B54" s="975"/>
      <c r="C54" s="94"/>
      <c r="D54" s="40" t="s">
        <v>527</v>
      </c>
      <c r="E54" s="239"/>
      <c r="F54" s="5"/>
      <c r="G54" s="5"/>
      <c r="H54" s="5"/>
      <c r="I54" s="5"/>
      <c r="J54" s="5"/>
      <c r="K54" s="5"/>
    </row>
    <row r="55" spans="2:11" ht="15.75" thickBot="1" x14ac:dyDescent="0.3">
      <c r="B55" s="975"/>
      <c r="C55" s="94"/>
      <c r="D55" s="40" t="s">
        <v>529</v>
      </c>
      <c r="E55" s="239"/>
      <c r="F55" s="5"/>
      <c r="G55" s="5"/>
      <c r="H55" s="5"/>
      <c r="I55" s="5"/>
      <c r="J55" s="5"/>
      <c r="K55" s="5"/>
    </row>
    <row r="56" spans="2:11" ht="15.75" thickBot="1" x14ac:dyDescent="0.3">
      <c r="B56" s="975"/>
      <c r="C56" s="94"/>
      <c r="D56" s="40" t="s">
        <v>531</v>
      </c>
      <c r="E56" s="239"/>
      <c r="F56" s="5"/>
      <c r="G56" s="5"/>
      <c r="H56" s="5"/>
      <c r="I56" s="5"/>
      <c r="J56" s="5"/>
      <c r="K56" s="5"/>
    </row>
    <row r="57" spans="2:11" ht="15.75" thickBot="1" x14ac:dyDescent="0.3">
      <c r="B57" s="976"/>
      <c r="C57" s="2"/>
      <c r="D57" s="40" t="s">
        <v>678</v>
      </c>
      <c r="E57" s="239"/>
      <c r="F57" s="5"/>
      <c r="G57" s="5"/>
      <c r="H57" s="5"/>
      <c r="I57" s="5"/>
      <c r="J57" s="5"/>
      <c r="K57" s="5"/>
    </row>
    <row r="58" spans="2:11" ht="15.75" thickBot="1" x14ac:dyDescent="0.3">
      <c r="B58" s="1"/>
      <c r="C58" s="76"/>
      <c r="D58" s="5"/>
      <c r="E58" s="5"/>
      <c r="F58" s="5"/>
      <c r="G58" s="5"/>
      <c r="H58" s="5"/>
      <c r="I58" s="5"/>
      <c r="J58" s="5"/>
      <c r="K58" s="5"/>
    </row>
    <row r="59" spans="2:11" ht="15" customHeight="1" thickBot="1" x14ac:dyDescent="0.3">
      <c r="B59" s="119" t="s">
        <v>682</v>
      </c>
      <c r="C59" s="120"/>
      <c r="D59" s="120"/>
      <c r="E59" s="121"/>
      <c r="G59" s="5"/>
      <c r="H59" s="5"/>
      <c r="I59" s="5"/>
      <c r="J59" s="5"/>
      <c r="K59" s="5"/>
    </row>
    <row r="60" spans="2:11" ht="24.75" thickBot="1" x14ac:dyDescent="0.3">
      <c r="B60" s="47" t="s">
        <v>683</v>
      </c>
      <c r="C60" s="40" t="s">
        <v>684</v>
      </c>
      <c r="D60" s="40" t="s">
        <v>685</v>
      </c>
      <c r="E60" s="40" t="s">
        <v>686</v>
      </c>
      <c r="F60" s="5"/>
      <c r="G60" s="5"/>
      <c r="H60" s="5"/>
      <c r="I60" s="5"/>
      <c r="J60" s="5"/>
    </row>
    <row r="61" spans="2:11" ht="72.75" thickBot="1" x14ac:dyDescent="0.3">
      <c r="B61" s="49">
        <v>42401</v>
      </c>
      <c r="C61" s="40">
        <v>0.01</v>
      </c>
      <c r="D61" s="50" t="s">
        <v>954</v>
      </c>
      <c r="E61" s="40"/>
      <c r="F61" s="5"/>
      <c r="G61" s="5"/>
      <c r="H61" s="5"/>
      <c r="I61" s="5"/>
      <c r="J61" s="5"/>
    </row>
    <row r="62" spans="2:11" ht="15.75" thickBot="1" x14ac:dyDescent="0.3">
      <c r="B62" s="3"/>
      <c r="C62" s="95"/>
      <c r="D62" s="5"/>
      <c r="E62" s="5"/>
      <c r="F62" s="5"/>
      <c r="G62" s="5"/>
      <c r="H62" s="5"/>
      <c r="I62" s="5"/>
      <c r="J62" s="5"/>
      <c r="K62" s="5"/>
    </row>
    <row r="63" spans="2:11" ht="15.75" thickBot="1" x14ac:dyDescent="0.3">
      <c r="B63" s="4" t="s">
        <v>593</v>
      </c>
      <c r="C63" s="96"/>
      <c r="D63" s="5"/>
      <c r="E63" s="5"/>
      <c r="F63" s="5"/>
      <c r="G63" s="5"/>
      <c r="H63" s="5"/>
      <c r="I63" s="5"/>
      <c r="J63" s="5"/>
      <c r="K63" s="5"/>
    </row>
    <row r="64" spans="2:11" x14ac:dyDescent="0.25">
      <c r="B64" s="1037"/>
      <c r="C64" s="1038"/>
      <c r="D64" s="1038"/>
      <c r="E64" s="1038"/>
      <c r="F64" s="5"/>
      <c r="G64" s="5"/>
      <c r="H64" s="5"/>
      <c r="I64" s="5"/>
      <c r="J64" s="5"/>
      <c r="K64" s="5"/>
    </row>
    <row r="65" spans="2:11" x14ac:dyDescent="0.25">
      <c r="B65" s="1037"/>
      <c r="C65" s="1038"/>
      <c r="D65" s="1038"/>
      <c r="E65" s="1038"/>
      <c r="F65" s="5"/>
      <c r="G65" s="5"/>
      <c r="H65" s="5"/>
      <c r="I65" s="5"/>
      <c r="J65" s="5"/>
      <c r="K65" s="5"/>
    </row>
    <row r="66" spans="2:11" ht="15.75" thickBot="1" x14ac:dyDescent="0.3">
      <c r="B66" s="5"/>
      <c r="D66" s="5"/>
      <c r="E66" s="5"/>
      <c r="F66" s="5"/>
      <c r="G66" s="5"/>
      <c r="H66" s="5"/>
      <c r="I66" s="5"/>
      <c r="J66" s="5"/>
      <c r="K66" s="5"/>
    </row>
    <row r="67" spans="2:11" ht="24.75" thickBot="1" x14ac:dyDescent="0.3">
      <c r="B67" s="51" t="s">
        <v>688</v>
      </c>
      <c r="C67" s="97"/>
      <c r="D67" s="5"/>
      <c r="E67" s="5"/>
      <c r="F67" s="5"/>
      <c r="G67" s="5"/>
      <c r="H67" s="5"/>
      <c r="I67" s="5"/>
      <c r="J67" s="5"/>
      <c r="K67" s="5"/>
    </row>
    <row r="68" spans="2:11" ht="15.75" thickBot="1" x14ac:dyDescent="0.3">
      <c r="B68" s="37"/>
      <c r="C68" s="88"/>
      <c r="D68" s="5"/>
      <c r="E68" s="5"/>
      <c r="F68" s="5"/>
      <c r="G68" s="5"/>
      <c r="H68" s="5"/>
      <c r="I68" s="5"/>
      <c r="J68" s="5"/>
      <c r="K68" s="5"/>
    </row>
    <row r="69" spans="2:11" ht="60.75" thickBot="1" x14ac:dyDescent="0.3">
      <c r="B69" s="52" t="s">
        <v>689</v>
      </c>
      <c r="C69" s="98"/>
      <c r="D69" s="43" t="s">
        <v>955</v>
      </c>
      <c r="E69" s="5"/>
      <c r="F69" s="5"/>
      <c r="G69" s="5"/>
      <c r="H69" s="5"/>
      <c r="I69" s="5"/>
      <c r="J69" s="5"/>
      <c r="K69" s="5"/>
    </row>
    <row r="70" spans="2:11" x14ac:dyDescent="0.25">
      <c r="B70" s="974" t="s">
        <v>691</v>
      </c>
      <c r="C70" s="94"/>
      <c r="D70" s="53" t="s">
        <v>692</v>
      </c>
      <c r="E70" s="5"/>
      <c r="F70" s="5"/>
      <c r="G70" s="5"/>
      <c r="H70" s="5"/>
      <c r="I70" s="5"/>
      <c r="J70" s="5"/>
      <c r="K70" s="5"/>
    </row>
    <row r="71" spans="2:11" ht="72" x14ac:dyDescent="0.25">
      <c r="B71" s="975"/>
      <c r="C71" s="94"/>
      <c r="D71" s="46" t="s">
        <v>956</v>
      </c>
      <c r="E71" s="5"/>
      <c r="F71" s="5"/>
      <c r="G71" s="5"/>
      <c r="H71" s="5"/>
      <c r="I71" s="5"/>
      <c r="J71" s="5"/>
      <c r="K71" s="5"/>
    </row>
    <row r="72" spans="2:11" x14ac:dyDescent="0.25">
      <c r="B72" s="975"/>
      <c r="C72" s="94"/>
      <c r="D72" s="53" t="s">
        <v>957</v>
      </c>
      <c r="E72" s="5"/>
      <c r="F72" s="5"/>
      <c r="G72" s="5"/>
      <c r="H72" s="5"/>
      <c r="I72" s="5"/>
      <c r="J72" s="5"/>
      <c r="K72" s="5"/>
    </row>
    <row r="73" spans="2:11" x14ac:dyDescent="0.25">
      <c r="B73" s="975"/>
      <c r="C73" s="94"/>
      <c r="D73" s="46" t="s">
        <v>958</v>
      </c>
      <c r="E73" s="5"/>
      <c r="F73" s="5"/>
      <c r="G73" s="5"/>
      <c r="H73" s="5"/>
      <c r="I73" s="5"/>
      <c r="J73" s="5"/>
      <c r="K73" s="5"/>
    </row>
    <row r="74" spans="2:11" ht="60" x14ac:dyDescent="0.25">
      <c r="B74" s="975"/>
      <c r="C74" s="94"/>
      <c r="D74" s="46" t="s">
        <v>959</v>
      </c>
      <c r="E74" s="5"/>
      <c r="F74" s="5"/>
      <c r="G74" s="5"/>
      <c r="H74" s="5"/>
      <c r="I74" s="5"/>
      <c r="J74" s="5"/>
      <c r="K74" s="5"/>
    </row>
    <row r="75" spans="2:11" ht="252" x14ac:dyDescent="0.25">
      <c r="B75" s="975"/>
      <c r="C75" s="94"/>
      <c r="D75" s="46" t="s">
        <v>960</v>
      </c>
      <c r="E75" s="5"/>
      <c r="F75" s="5"/>
      <c r="G75" s="5"/>
      <c r="H75" s="5"/>
      <c r="I75" s="5"/>
      <c r="J75" s="5"/>
      <c r="K75" s="5"/>
    </row>
    <row r="76" spans="2:11" x14ac:dyDescent="0.25">
      <c r="B76" s="975"/>
      <c r="C76" s="94"/>
      <c r="D76" s="53" t="s">
        <v>923</v>
      </c>
      <c r="E76" s="5"/>
      <c r="F76" s="5"/>
      <c r="G76" s="5"/>
      <c r="H76" s="5"/>
      <c r="I76" s="5"/>
      <c r="J76" s="5"/>
      <c r="K76" s="5"/>
    </row>
    <row r="77" spans="2:11" ht="15.75" thickBot="1" x14ac:dyDescent="0.3">
      <c r="B77" s="976"/>
      <c r="C77" s="2"/>
      <c r="D77" s="40" t="s">
        <v>961</v>
      </c>
      <c r="E77" s="5"/>
      <c r="F77" s="5"/>
      <c r="G77" s="5"/>
      <c r="H77" s="5"/>
      <c r="I77" s="5"/>
      <c r="J77" s="5"/>
      <c r="K77" s="5"/>
    </row>
    <row r="78" spans="2:11" x14ac:dyDescent="0.25">
      <c r="B78" s="974" t="s">
        <v>704</v>
      </c>
      <c r="C78" s="99"/>
      <c r="D78" s="974"/>
      <c r="E78" s="5"/>
      <c r="F78" s="5"/>
      <c r="G78" s="5"/>
      <c r="H78" s="5"/>
      <c r="I78" s="5"/>
      <c r="J78" s="5"/>
      <c r="K78" s="5"/>
    </row>
    <row r="79" spans="2:11" ht="15.75" thickBot="1" x14ac:dyDescent="0.3">
      <c r="B79" s="976"/>
      <c r="C79" s="100"/>
      <c r="D79" s="976"/>
      <c r="E79" s="5"/>
      <c r="F79" s="5"/>
      <c r="G79" s="5"/>
      <c r="H79" s="5"/>
      <c r="I79" s="5"/>
      <c r="J79" s="5"/>
      <c r="K79" s="5"/>
    </row>
    <row r="80" spans="2:11" ht="180" x14ac:dyDescent="0.25">
      <c r="B80" s="974" t="s">
        <v>705</v>
      </c>
      <c r="C80" s="94"/>
      <c r="D80" s="46" t="s">
        <v>962</v>
      </c>
      <c r="E80" s="5"/>
      <c r="F80" s="5"/>
      <c r="G80" s="5"/>
      <c r="H80" s="5"/>
      <c r="I80" s="5"/>
      <c r="J80" s="5"/>
      <c r="K80" s="5"/>
    </row>
    <row r="81" spans="2:11" ht="120" x14ac:dyDescent="0.25">
      <c r="B81" s="975"/>
      <c r="C81" s="94"/>
      <c r="D81" s="46" t="s">
        <v>963</v>
      </c>
      <c r="E81" s="5"/>
      <c r="F81" s="5"/>
      <c r="G81" s="5"/>
      <c r="H81" s="5"/>
      <c r="I81" s="5"/>
      <c r="J81" s="5"/>
      <c r="K81" s="5"/>
    </row>
    <row r="82" spans="2:11" ht="120" x14ac:dyDescent="0.25">
      <c r="B82" s="975"/>
      <c r="C82" s="94"/>
      <c r="D82" s="46" t="s">
        <v>964</v>
      </c>
      <c r="E82" s="5"/>
      <c r="F82" s="5"/>
      <c r="G82" s="5"/>
      <c r="H82" s="5"/>
      <c r="I82" s="5"/>
      <c r="J82" s="5"/>
      <c r="K82" s="5"/>
    </row>
    <row r="83" spans="2:11" ht="84" x14ac:dyDescent="0.25">
      <c r="B83" s="975"/>
      <c r="C83" s="94"/>
      <c r="D83" s="46" t="s">
        <v>965</v>
      </c>
      <c r="E83" s="5"/>
      <c r="F83" s="5"/>
      <c r="G83" s="5"/>
      <c r="H83" s="5"/>
      <c r="I83" s="5"/>
      <c r="J83" s="5"/>
      <c r="K83" s="5"/>
    </row>
    <row r="84" spans="2:11" ht="72" x14ac:dyDescent="0.25">
      <c r="B84" s="975"/>
      <c r="C84" s="94"/>
      <c r="D84" s="46" t="s">
        <v>966</v>
      </c>
      <c r="E84" s="5"/>
      <c r="F84" s="5"/>
      <c r="G84" s="5"/>
      <c r="H84" s="5"/>
      <c r="I84" s="5"/>
      <c r="J84" s="5"/>
      <c r="K84" s="5"/>
    </row>
    <row r="85" spans="2:11" ht="192" x14ac:dyDescent="0.25">
      <c r="B85" s="975"/>
      <c r="C85" s="94"/>
      <c r="D85" s="46" t="s">
        <v>967</v>
      </c>
      <c r="E85" s="5"/>
      <c r="F85" s="5"/>
      <c r="G85" s="5"/>
      <c r="H85" s="5"/>
      <c r="I85" s="5"/>
      <c r="J85" s="5"/>
      <c r="K85" s="5"/>
    </row>
    <row r="86" spans="2:11" ht="108.75" thickBot="1" x14ac:dyDescent="0.3">
      <c r="B86" s="976"/>
      <c r="C86" s="2"/>
      <c r="D86" s="40" t="s">
        <v>968</v>
      </c>
      <c r="E86" s="5"/>
      <c r="F86" s="5"/>
      <c r="G86" s="5"/>
      <c r="H86" s="5"/>
      <c r="I86" s="5"/>
      <c r="J86" s="5"/>
      <c r="K86" s="5"/>
    </row>
    <row r="87" spans="2:11" ht="24" x14ac:dyDescent="0.25">
      <c r="B87" s="974" t="s">
        <v>722</v>
      </c>
      <c r="C87" s="94"/>
      <c r="D87" s="53" t="s">
        <v>969</v>
      </c>
      <c r="E87" s="5"/>
      <c r="F87" s="5"/>
      <c r="G87" s="5"/>
      <c r="H87" s="5"/>
      <c r="I87" s="5"/>
      <c r="J87" s="5"/>
      <c r="K87" s="5"/>
    </row>
    <row r="88" spans="2:11" x14ac:dyDescent="0.25">
      <c r="B88" s="975"/>
      <c r="C88" s="94"/>
      <c r="D88" s="16"/>
      <c r="E88" s="5"/>
      <c r="F88" s="5"/>
      <c r="G88" s="5"/>
      <c r="H88" s="5"/>
      <c r="I88" s="5"/>
      <c r="J88" s="5"/>
      <c r="K88" s="5"/>
    </row>
    <row r="89" spans="2:11" x14ac:dyDescent="0.25">
      <c r="B89" s="975"/>
      <c r="C89" s="94"/>
      <c r="D89" s="46" t="s">
        <v>723</v>
      </c>
      <c r="E89" s="5"/>
      <c r="F89" s="5"/>
      <c r="G89" s="5"/>
      <c r="H89" s="5"/>
      <c r="I89" s="5"/>
      <c r="J89" s="5"/>
      <c r="K89" s="5"/>
    </row>
    <row r="90" spans="2:11" ht="37.5" x14ac:dyDescent="0.25">
      <c r="B90" s="975"/>
      <c r="C90" s="94"/>
      <c r="D90" s="46" t="s">
        <v>970</v>
      </c>
      <c r="E90" s="5"/>
      <c r="F90" s="5"/>
      <c r="G90" s="5"/>
      <c r="H90" s="5"/>
      <c r="I90" s="5"/>
      <c r="J90" s="5"/>
      <c r="K90" s="5"/>
    </row>
    <row r="91" spans="2:11" ht="37.5" x14ac:dyDescent="0.25">
      <c r="B91" s="975"/>
      <c r="C91" s="94"/>
      <c r="D91" s="46" t="s">
        <v>971</v>
      </c>
      <c r="E91" s="5"/>
      <c r="F91" s="5"/>
      <c r="G91" s="5"/>
      <c r="H91" s="5"/>
      <c r="I91" s="5"/>
      <c r="J91" s="5"/>
      <c r="K91" s="5"/>
    </row>
    <row r="92" spans="2:11" ht="37.5" x14ac:dyDescent="0.25">
      <c r="B92" s="975"/>
      <c r="C92" s="94"/>
      <c r="D92" s="46" t="s">
        <v>972</v>
      </c>
      <c r="E92" s="5"/>
      <c r="F92" s="5"/>
      <c r="G92" s="5"/>
      <c r="H92" s="5"/>
      <c r="I92" s="5"/>
      <c r="J92" s="5"/>
      <c r="K92" s="5"/>
    </row>
    <row r="93" spans="2:11" ht="84" x14ac:dyDescent="0.25">
      <c r="B93" s="975"/>
      <c r="C93" s="94"/>
      <c r="D93" s="54" t="s">
        <v>892</v>
      </c>
      <c r="E93" s="5"/>
      <c r="F93" s="5"/>
      <c r="G93" s="5"/>
      <c r="H93" s="5"/>
      <c r="I93" s="5"/>
      <c r="J93" s="5"/>
      <c r="K93" s="5"/>
    </row>
    <row r="94" spans="2:11" x14ac:dyDescent="0.25">
      <c r="B94" s="975"/>
      <c r="C94" s="94"/>
      <c r="D94" s="53" t="s">
        <v>866</v>
      </c>
      <c r="E94" s="5"/>
      <c r="F94" s="5"/>
      <c r="G94" s="5"/>
      <c r="H94" s="5"/>
      <c r="I94" s="5"/>
      <c r="J94" s="5"/>
      <c r="K94" s="5"/>
    </row>
    <row r="95" spans="2:11" ht="36" x14ac:dyDescent="0.25">
      <c r="B95" s="975"/>
      <c r="C95" s="94"/>
      <c r="D95" s="53" t="s">
        <v>946</v>
      </c>
      <c r="E95" s="5"/>
      <c r="F95" s="5"/>
      <c r="G95" s="5"/>
      <c r="H95" s="5"/>
      <c r="I95" s="5"/>
      <c r="J95" s="5"/>
      <c r="K95" s="5"/>
    </row>
    <row r="96" spans="2:11" x14ac:dyDescent="0.25">
      <c r="B96" s="975"/>
      <c r="C96" s="94"/>
      <c r="D96" s="16"/>
      <c r="E96" s="5"/>
      <c r="F96" s="5"/>
      <c r="G96" s="5"/>
      <c r="H96" s="5"/>
      <c r="I96" s="5"/>
      <c r="J96" s="5"/>
      <c r="K96" s="5"/>
    </row>
    <row r="97" spans="2:11" x14ac:dyDescent="0.25">
      <c r="B97" s="975"/>
      <c r="C97" s="94"/>
      <c r="D97" s="46" t="s">
        <v>723</v>
      </c>
      <c r="E97" s="5"/>
      <c r="F97" s="5"/>
      <c r="G97" s="5"/>
      <c r="H97" s="5"/>
      <c r="I97" s="5"/>
      <c r="J97" s="5"/>
      <c r="K97" s="5"/>
    </row>
    <row r="98" spans="2:11" ht="37.5" x14ac:dyDescent="0.25">
      <c r="B98" s="975"/>
      <c r="C98" s="94"/>
      <c r="D98" s="46" t="s">
        <v>973</v>
      </c>
      <c r="E98" s="5"/>
      <c r="F98" s="5"/>
      <c r="G98" s="5"/>
      <c r="H98" s="5"/>
      <c r="I98" s="5"/>
      <c r="J98" s="5"/>
      <c r="K98" s="5"/>
    </row>
    <row r="99" spans="2:11" ht="62.25" thickBot="1" x14ac:dyDescent="0.3">
      <c r="B99" s="976"/>
      <c r="C99" s="2"/>
      <c r="D99" s="40" t="s">
        <v>974</v>
      </c>
      <c r="E99" s="5"/>
      <c r="F99" s="5"/>
      <c r="G99" s="5"/>
      <c r="H99" s="5"/>
      <c r="I99" s="5"/>
      <c r="J99" s="5"/>
      <c r="K99" s="5"/>
    </row>
  </sheetData>
  <mergeCells count="28">
    <mergeCell ref="A1:P1"/>
    <mergeCell ref="A2:P2"/>
    <mergeCell ref="A3:P3"/>
    <mergeCell ref="A4:D4"/>
    <mergeCell ref="A5:P5"/>
    <mergeCell ref="B78:B79"/>
    <mergeCell ref="D78:D79"/>
    <mergeCell ref="B80:B86"/>
    <mergeCell ref="B87:B99"/>
    <mergeCell ref="B10:D10"/>
    <mergeCell ref="B15:B19"/>
    <mergeCell ref="B51:B57"/>
    <mergeCell ref="D23:K23"/>
    <mergeCell ref="D38:K38"/>
    <mergeCell ref="D39:K39"/>
    <mergeCell ref="B41:E41"/>
    <mergeCell ref="B42:B48"/>
    <mergeCell ref="B50:E50"/>
    <mergeCell ref="B64:E65"/>
    <mergeCell ref="D15:K15"/>
    <mergeCell ref="D20:K20"/>
    <mergeCell ref="F10:S10"/>
    <mergeCell ref="F11:S11"/>
    <mergeCell ref="E12:R12"/>
    <mergeCell ref="E13:R13"/>
    <mergeCell ref="B70:B77"/>
    <mergeCell ref="D21:K21"/>
    <mergeCell ref="D22:K22"/>
  </mergeCells>
  <conditionalFormatting sqref="E12:R12">
    <cfRule type="expression" dxfId="94" priority="1">
      <formula>E11="SI SE REPORTA"</formula>
    </cfRule>
  </conditionalFormatting>
  <conditionalFormatting sqref="F10">
    <cfRule type="notContainsBlanks" dxfId="93" priority="4">
      <formula>LEN(TRIM(F10))&gt;0</formula>
    </cfRule>
  </conditionalFormatting>
  <conditionalFormatting sqref="F11:S11">
    <cfRule type="expression" dxfId="92" priority="2">
      <formula>E11="NO SE REPORTA"</formula>
    </cfRule>
    <cfRule type="expression" dxfId="91" priority="3">
      <formula>E10="NO APLICA"</formula>
    </cfRule>
  </conditionalFormatting>
  <dataValidations count="6">
    <dataValidation type="list" allowBlank="1" showInputMessage="1" showErrorMessage="1" sqref="E10" xr:uid="{00000000-0002-0000-1000-000005000000}">
      <formula1>SI</formula1>
    </dataValidation>
    <dataValidation type="list" allowBlank="1" showInputMessage="1" showErrorMessage="1" sqref="E11" xr:uid="{00000000-0002-0000-1000-000004000000}">
      <formula1>REPORTE</formula1>
    </dataValidation>
    <dataValidation allowBlank="1" showInputMessage="1" showErrorMessage="1" sqref="E19:H19" xr:uid="{00000000-0002-0000-1000-000003000000}"/>
    <dataValidation allowBlank="1" showInputMessage="1" showErrorMessage="1" promptTitle="OJO" prompt="NO TOCAR" sqref="F37:J37" xr:uid="{00000000-0002-0000-1000-000002000000}"/>
    <dataValidation type="whole" operator="greaterThanOrEqual" allowBlank="1" showInputMessage="1" showErrorMessage="1" errorTitle="ERROR" error="Valor en HECTAREAS (sin decimales)_x000a_" sqref="E17:H18 F25:F36" xr:uid="{00000000-0002-0000-1000-000001000000}">
      <formula1>0</formula1>
    </dataValidation>
    <dataValidation type="whole" operator="greaterThanOrEqual" allowBlank="1" showInputMessage="1" showErrorMessage="1" errorTitle="ERROR" error="Valor en PESOS (sin centavos)" sqref="G25:J36" xr:uid="{00000000-0002-0000-1000-000000000000}">
      <formula1>0</formula1>
    </dataValidation>
  </dataValidations>
  <hyperlinks>
    <hyperlink ref="B9" location="'ANEXO 3'!A1" display="VOLVER AL INDICE" xr:uid="{1B9D8578-71B4-4938-93FA-307E32FDC609}"/>
    <hyperlink ref="E46" r:id="rId1" xr:uid="{3BBF13F5-7C47-46E8-80C0-348B82B49190}"/>
  </hyperlinks>
  <pageMargins left="0.25" right="0.25" top="0.75" bottom="0.75" header="0.3" footer="0.3"/>
  <pageSetup paperSize="178" orientation="landscape" horizontalDpi="1200" verticalDpi="120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1DFEE-FE7E-4686-AD27-974B58DFD438}">
  <dimension ref="A1:U155"/>
  <sheetViews>
    <sheetView showGridLines="0" topLeftCell="A23" zoomScale="98" zoomScaleNormal="98" workbookViewId="0">
      <selection activeCell="D17" sqref="D17:I18"/>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17</v>
      </c>
      <c r="B5" s="998"/>
      <c r="C5" s="998"/>
      <c r="D5" s="998"/>
      <c r="E5" s="998"/>
      <c r="F5" s="998"/>
      <c r="G5" s="998"/>
      <c r="H5" s="998"/>
      <c r="I5" s="998"/>
      <c r="J5" s="998"/>
      <c r="K5" s="998"/>
      <c r="L5" s="998"/>
      <c r="M5" s="998"/>
      <c r="N5" s="998"/>
      <c r="O5" s="998"/>
      <c r="P5" s="999"/>
    </row>
    <row r="6" spans="1:21" x14ac:dyDescent="0.25">
      <c r="B6" s="225"/>
      <c r="C6" s="226"/>
      <c r="D6" s="5"/>
      <c r="E6" s="5"/>
      <c r="F6" s="5"/>
      <c r="G6" s="5"/>
      <c r="H6" s="5"/>
      <c r="I6" s="5"/>
      <c r="J6" s="5"/>
      <c r="K6" s="5"/>
    </row>
    <row r="7" spans="1:21" x14ac:dyDescent="0.25">
      <c r="B7" s="1" t="s">
        <v>626</v>
      </c>
      <c r="C7" s="76"/>
      <c r="D7" s="5"/>
      <c r="E7" s="74"/>
      <c r="F7" s="5" t="s">
        <v>627</v>
      </c>
      <c r="G7" s="5"/>
      <c r="H7" s="5"/>
      <c r="I7" s="5"/>
      <c r="J7" s="5"/>
      <c r="K7" s="5"/>
    </row>
    <row r="8" spans="1:21" ht="15.75" thickBot="1" x14ac:dyDescent="0.3">
      <c r="B8" s="75"/>
      <c r="C8" s="77"/>
      <c r="D8" s="5"/>
      <c r="E8" s="17"/>
      <c r="F8" s="5" t="s">
        <v>628</v>
      </c>
      <c r="G8" s="5"/>
      <c r="H8" s="5"/>
      <c r="I8" s="5"/>
      <c r="J8" s="5"/>
      <c r="K8" s="5"/>
    </row>
    <row r="9" spans="1:21" ht="15.75" thickBot="1" x14ac:dyDescent="0.3">
      <c r="B9" s="171" t="s">
        <v>629</v>
      </c>
      <c r="C9" s="211">
        <v>2024</v>
      </c>
      <c r="D9" s="216" t="str">
        <f>IF(E11="NO APLICA","NO APLICA",IF(E12="NO SE REPORTA","SIN INFORMACION",+G96))</f>
        <v>N.A.</v>
      </c>
      <c r="E9" s="212"/>
      <c r="F9" s="5" t="s">
        <v>630</v>
      </c>
      <c r="G9" s="5"/>
      <c r="H9" s="5"/>
      <c r="I9" s="5"/>
      <c r="J9" s="5"/>
      <c r="K9" s="5"/>
    </row>
    <row r="10" spans="1:21" x14ac:dyDescent="0.25">
      <c r="B10" s="358" t="s">
        <v>631</v>
      </c>
      <c r="C10" s="76"/>
      <c r="D10" s="5"/>
      <c r="E10" s="5"/>
      <c r="F10" s="5"/>
      <c r="G10" s="5"/>
      <c r="H10" s="5"/>
      <c r="I10" s="5"/>
      <c r="J10" s="5"/>
      <c r="K10" s="5"/>
    </row>
    <row r="11" spans="1:21" x14ac:dyDescent="0.25">
      <c r="B11" s="1008" t="s">
        <v>632</v>
      </c>
      <c r="C11" s="1008"/>
      <c r="D11" s="1008"/>
      <c r="E11" s="361" t="s">
        <v>633</v>
      </c>
      <c r="F11" s="995" t="str">
        <f>IF(E11="NO APLICA","      ESCRIBA EL NÚMERO DEL ACUERDO DEL CONSEJO DIRECTIVO EN EL CUAL DECIDE LA NO PROCEDENCIA DE LA APLICACIÓN DEL INDICADOR",IF(E12="NO SE REPORTA","      ESCRIBA EL NÚMERO DEL ACUERDO DEL CONSEJO DIRECTIVO EN LA CUAL SE APRUEBA LA AGENDA DE IMPLEMENTACION DEL INDICADOR",""))</f>
        <v/>
      </c>
      <c r="G11" s="996"/>
      <c r="H11" s="996"/>
      <c r="I11" s="996"/>
      <c r="J11" s="996"/>
      <c r="K11" s="996"/>
      <c r="L11" s="996"/>
      <c r="M11" s="996"/>
      <c r="N11" s="996"/>
      <c r="O11" s="996"/>
      <c r="P11" s="996"/>
      <c r="Q11" s="996"/>
      <c r="R11" s="996"/>
      <c r="S11" s="996"/>
      <c r="T11" s="5"/>
      <c r="U11" s="5"/>
    </row>
    <row r="12" spans="1:21" ht="14.45" customHeight="1" x14ac:dyDescent="0.25">
      <c r="B12" s="360"/>
      <c r="C12" s="88"/>
      <c r="D12" s="171" t="str">
        <f>IF(E11="SI APLICA","¿El indicador no se reporta por limitaciones de información disponible? ","")</f>
        <v xml:space="preserve">¿El indicador no se reporta por limitaciones de información disponible? </v>
      </c>
      <c r="E12" s="362" t="s">
        <v>634</v>
      </c>
      <c r="F12" s="1009"/>
      <c r="G12" s="1010"/>
      <c r="H12" s="1010"/>
      <c r="I12" s="1010"/>
      <c r="J12" s="1010"/>
      <c r="K12" s="1010"/>
      <c r="L12" s="1010"/>
      <c r="M12" s="1010"/>
      <c r="N12" s="1010"/>
      <c r="O12" s="1010"/>
      <c r="P12" s="1010"/>
      <c r="Q12" s="1010"/>
      <c r="R12" s="1010"/>
      <c r="S12" s="1010"/>
    </row>
    <row r="13" spans="1:21" ht="23.45" customHeight="1" x14ac:dyDescent="0.25">
      <c r="B13" s="358"/>
      <c r="C13" s="88"/>
      <c r="D13" s="171" t="str">
        <f>IF(E12="SI SE REPORTA","¿Qué programas o proyectos del Plan de Acción están asociados al indicador? ","")</f>
        <v xml:space="preserve">¿Qué programas o proyectos del Plan de Acción están asociados al indicador? </v>
      </c>
      <c r="E13" s="1011" t="s">
        <v>2314</v>
      </c>
      <c r="F13" s="1011"/>
      <c r="G13" s="1011"/>
      <c r="H13" s="1011"/>
      <c r="I13" s="1011"/>
      <c r="J13" s="1011"/>
      <c r="K13" s="1011"/>
      <c r="L13" s="1011"/>
      <c r="M13" s="1011"/>
      <c r="N13" s="1011"/>
      <c r="O13" s="1011"/>
      <c r="P13" s="1011"/>
      <c r="Q13" s="1011"/>
      <c r="R13" s="1011"/>
    </row>
    <row r="14" spans="1:21" ht="21.95" customHeight="1" x14ac:dyDescent="0.25">
      <c r="B14" s="358"/>
      <c r="C14" s="88"/>
      <c r="D14" s="171" t="s">
        <v>635</v>
      </c>
      <c r="E14" s="1012"/>
      <c r="F14" s="1013"/>
      <c r="G14" s="1013"/>
      <c r="H14" s="1013"/>
      <c r="I14" s="1013"/>
      <c r="J14" s="1013"/>
      <c r="K14" s="1013"/>
      <c r="L14" s="1013"/>
      <c r="M14" s="1013"/>
      <c r="N14" s="1013"/>
      <c r="O14" s="1013"/>
      <c r="P14" s="1013"/>
      <c r="Q14" s="1013"/>
      <c r="R14" s="1014"/>
    </row>
    <row r="15" spans="1:21" ht="6.95" customHeight="1" thickBot="1" x14ac:dyDescent="0.3">
      <c r="B15" s="358"/>
      <c r="C15" s="76"/>
      <c r="D15" s="5"/>
      <c r="E15" s="5"/>
      <c r="F15" s="5"/>
      <c r="G15" s="5"/>
      <c r="H15" s="5"/>
      <c r="I15" s="5"/>
      <c r="J15" s="5"/>
      <c r="K15" s="5"/>
    </row>
    <row r="16" spans="1:21" ht="15" customHeight="1" thickBot="1" x14ac:dyDescent="0.3">
      <c r="B16" s="974" t="s">
        <v>636</v>
      </c>
      <c r="C16" s="89"/>
      <c r="D16" s="231" t="s">
        <v>940</v>
      </c>
      <c r="E16" s="232"/>
      <c r="F16" s="232"/>
      <c r="G16" s="232"/>
      <c r="H16" s="232"/>
      <c r="I16" s="232"/>
      <c r="J16" s="63"/>
      <c r="K16" s="5"/>
    </row>
    <row r="17" spans="2:11" x14ac:dyDescent="0.25">
      <c r="B17" s="975"/>
      <c r="C17" s="1045" t="s">
        <v>585</v>
      </c>
      <c r="D17" s="1049" t="s">
        <v>763</v>
      </c>
      <c r="E17" s="1058" t="s">
        <v>975</v>
      </c>
      <c r="F17" s="1060" t="s">
        <v>976</v>
      </c>
      <c r="G17" s="1058" t="s">
        <v>764</v>
      </c>
      <c r="H17" s="5"/>
      <c r="J17" s="21"/>
      <c r="K17" s="5"/>
    </row>
    <row r="18" spans="2:11" ht="15.75" thickBot="1" x14ac:dyDescent="0.3">
      <c r="B18" s="975"/>
      <c r="C18" s="1046"/>
      <c r="D18" s="1050"/>
      <c r="E18" s="1059"/>
      <c r="F18" s="1061"/>
      <c r="G18" s="1059"/>
      <c r="H18" s="5"/>
      <c r="J18" s="21"/>
      <c r="K18" s="5"/>
    </row>
    <row r="19" spans="2:11" ht="24.75" thickBot="1" x14ac:dyDescent="0.3">
      <c r="B19" s="975"/>
      <c r="C19" s="2" t="s">
        <v>765</v>
      </c>
      <c r="D19" s="40" t="s">
        <v>977</v>
      </c>
      <c r="E19" s="767">
        <v>21</v>
      </c>
      <c r="F19" s="206"/>
      <c r="G19" s="134">
        <f t="shared" ref="G19:G24" si="0">+E19+F19</f>
        <v>21</v>
      </c>
      <c r="H19" s="5"/>
      <c r="J19" s="21"/>
      <c r="K19" s="5"/>
    </row>
    <row r="20" spans="2:11" ht="24.75" thickBot="1" x14ac:dyDescent="0.3">
      <c r="B20" s="975"/>
      <c r="C20" s="2" t="s">
        <v>767</v>
      </c>
      <c r="D20" s="40" t="s">
        <v>978</v>
      </c>
      <c r="E20" s="768">
        <v>184295</v>
      </c>
      <c r="F20" s="207"/>
      <c r="G20" s="134">
        <f t="shared" si="0"/>
        <v>184295</v>
      </c>
      <c r="H20" s="5"/>
      <c r="J20" s="21"/>
      <c r="K20" s="5"/>
    </row>
    <row r="21" spans="2:11" ht="36.75" thickBot="1" x14ac:dyDescent="0.3">
      <c r="B21" s="975"/>
      <c r="C21" s="2" t="s">
        <v>769</v>
      </c>
      <c r="D21" s="40" t="s">
        <v>979</v>
      </c>
      <c r="E21" s="207"/>
      <c r="F21" s="207"/>
      <c r="G21" s="134">
        <f t="shared" si="0"/>
        <v>0</v>
      </c>
      <c r="H21" s="5"/>
      <c r="J21" s="21"/>
      <c r="K21" s="5"/>
    </row>
    <row r="22" spans="2:11" ht="36.75" thickBot="1" x14ac:dyDescent="0.3">
      <c r="B22" s="975"/>
      <c r="C22" s="2" t="s">
        <v>853</v>
      </c>
      <c r="D22" s="334" t="s">
        <v>980</v>
      </c>
      <c r="E22" s="769">
        <v>2</v>
      </c>
      <c r="F22" s="207"/>
      <c r="G22" s="272">
        <f t="shared" si="0"/>
        <v>2</v>
      </c>
      <c r="H22" s="5"/>
      <c r="J22" s="21"/>
      <c r="K22" s="5"/>
    </row>
    <row r="23" spans="2:11" ht="48.75" thickBot="1" x14ac:dyDescent="0.3">
      <c r="B23" s="975"/>
      <c r="C23" s="2" t="s">
        <v>855</v>
      </c>
      <c r="D23" s="40" t="s">
        <v>981</v>
      </c>
      <c r="E23" s="206">
        <v>4</v>
      </c>
      <c r="F23" s="206"/>
      <c r="G23" s="272">
        <f t="shared" si="0"/>
        <v>4</v>
      </c>
      <c r="H23" s="5"/>
      <c r="J23" s="21"/>
      <c r="K23" s="5"/>
    </row>
    <row r="24" spans="2:11" ht="48.75" thickBot="1" x14ac:dyDescent="0.3">
      <c r="B24" s="975"/>
      <c r="C24" s="2" t="s">
        <v>857</v>
      </c>
      <c r="D24" s="40" t="s">
        <v>982</v>
      </c>
      <c r="E24" s="272">
        <f>+E21+E22</f>
        <v>2</v>
      </c>
      <c r="F24" s="272">
        <f>+F21+F22</f>
        <v>0</v>
      </c>
      <c r="G24" s="272">
        <f t="shared" si="0"/>
        <v>2</v>
      </c>
      <c r="H24" s="5"/>
      <c r="J24" s="21"/>
      <c r="K24" s="5"/>
    </row>
    <row r="25" spans="2:11" ht="24" customHeight="1" x14ac:dyDescent="0.25">
      <c r="B25" s="975"/>
      <c r="C25" s="92"/>
      <c r="D25" s="1062" t="s">
        <v>983</v>
      </c>
      <c r="E25" s="1063"/>
      <c r="F25" s="1063"/>
      <c r="G25" s="1063"/>
      <c r="H25" s="1063"/>
      <c r="I25" s="1063"/>
      <c r="J25" s="21"/>
    </row>
    <row r="26" spans="2:11" x14ac:dyDescent="0.25">
      <c r="B26" s="975"/>
      <c r="C26" s="92"/>
      <c r="D26" s="273" t="s">
        <v>984</v>
      </c>
      <c r="E26" s="3"/>
      <c r="F26" s="3"/>
      <c r="G26" s="3"/>
      <c r="H26" s="3"/>
      <c r="I26" s="3"/>
      <c r="J26" s="21"/>
    </row>
    <row r="27" spans="2:11" ht="15.75" thickBot="1" x14ac:dyDescent="0.3">
      <c r="B27" s="975"/>
      <c r="C27" s="92"/>
      <c r="D27" s="962" t="s">
        <v>985</v>
      </c>
      <c r="E27" s="963"/>
      <c r="F27" s="963"/>
      <c r="G27" s="963"/>
      <c r="H27" s="963"/>
      <c r="I27" s="963"/>
      <c r="J27" s="964"/>
    </row>
    <row r="28" spans="2:11" ht="15.75" thickBot="1" x14ac:dyDescent="0.3">
      <c r="B28" s="975"/>
      <c r="C28" s="94"/>
      <c r="D28" s="38" t="s">
        <v>763</v>
      </c>
      <c r="E28" s="38" t="s">
        <v>587</v>
      </c>
      <c r="F28" s="38" t="s">
        <v>588</v>
      </c>
      <c r="G28" s="38" t="s">
        <v>589</v>
      </c>
      <c r="H28" s="38" t="s">
        <v>590</v>
      </c>
      <c r="I28" s="38" t="s">
        <v>764</v>
      </c>
      <c r="J28" s="21"/>
    </row>
    <row r="29" spans="2:11" ht="15.75" thickBot="1" x14ac:dyDescent="0.3">
      <c r="B29" s="975"/>
      <c r="C29" s="94"/>
      <c r="D29" s="39" t="s">
        <v>986</v>
      </c>
      <c r="E29" s="206">
        <v>0</v>
      </c>
      <c r="F29" s="206">
        <v>1</v>
      </c>
      <c r="G29" s="206">
        <v>1</v>
      </c>
      <c r="H29" s="206">
        <v>0</v>
      </c>
      <c r="I29" s="136">
        <f>SUM(E29:H29)</f>
        <v>2</v>
      </c>
      <c r="J29" s="21"/>
    </row>
    <row r="30" spans="2:11" ht="15.75" thickBot="1" x14ac:dyDescent="0.3">
      <c r="B30" s="975"/>
      <c r="C30" s="94"/>
      <c r="D30" s="39" t="s">
        <v>987</v>
      </c>
      <c r="E30" s="206"/>
      <c r="F30" s="206"/>
      <c r="G30" s="206"/>
      <c r="H30" s="206"/>
      <c r="I30" s="274"/>
      <c r="J30" s="21"/>
    </row>
    <row r="31" spans="2:11" ht="15.75" thickBot="1" x14ac:dyDescent="0.3">
      <c r="B31" s="975"/>
      <c r="C31" s="94"/>
      <c r="D31" s="39" t="s">
        <v>988</v>
      </c>
      <c r="E31" s="206"/>
      <c r="F31" s="206"/>
      <c r="G31" s="206"/>
      <c r="H31" s="206"/>
      <c r="I31" s="274"/>
      <c r="J31" s="21"/>
    </row>
    <row r="32" spans="2:11" ht="15.75" thickBot="1" x14ac:dyDescent="0.3">
      <c r="B32" s="975"/>
      <c r="C32" s="94"/>
      <c r="D32" s="39" t="s">
        <v>989</v>
      </c>
      <c r="E32" s="206"/>
      <c r="F32" s="206"/>
      <c r="G32" s="206"/>
      <c r="H32" s="206"/>
      <c r="I32" s="274"/>
      <c r="J32" s="21"/>
    </row>
    <row r="33" spans="2:10" ht="15.75" thickBot="1" x14ac:dyDescent="0.3">
      <c r="B33" s="975"/>
      <c r="C33" s="94"/>
      <c r="D33" s="39" t="s">
        <v>990</v>
      </c>
      <c r="E33" s="206"/>
      <c r="F33" s="206"/>
      <c r="G33" s="206"/>
      <c r="H33" s="206"/>
      <c r="I33" s="274"/>
      <c r="J33" s="21"/>
    </row>
    <row r="34" spans="2:10" ht="15.75" thickBot="1" x14ac:dyDescent="0.3">
      <c r="B34" s="975"/>
      <c r="C34" s="94"/>
      <c r="D34" s="39" t="s">
        <v>991</v>
      </c>
      <c r="E34" s="270"/>
      <c r="F34" s="270"/>
      <c r="G34" s="270"/>
      <c r="H34" s="270"/>
      <c r="I34" s="274"/>
      <c r="J34" s="21"/>
    </row>
    <row r="35" spans="2:10" ht="15.75" thickBot="1" x14ac:dyDescent="0.3">
      <c r="B35" s="975"/>
      <c r="C35" s="94"/>
      <c r="D35" s="39" t="s">
        <v>764</v>
      </c>
      <c r="E35" s="136">
        <f>SUM(E30:E34)</f>
        <v>0</v>
      </c>
      <c r="F35" s="136">
        <f>SUM(F30:F34)</f>
        <v>0</v>
      </c>
      <c r="G35" s="136">
        <f>SUM(G30:G34)</f>
        <v>0</v>
      </c>
      <c r="H35" s="136">
        <f>SUM(H30:H34)</f>
        <v>0</v>
      </c>
      <c r="I35" s="274"/>
      <c r="J35" s="21"/>
    </row>
    <row r="36" spans="2:10" x14ac:dyDescent="0.25">
      <c r="B36" s="975"/>
      <c r="C36" s="92"/>
      <c r="D36" s="962" t="s">
        <v>992</v>
      </c>
      <c r="E36" s="963"/>
      <c r="F36" s="963"/>
      <c r="G36" s="963"/>
      <c r="H36" s="963"/>
      <c r="I36" s="963"/>
      <c r="J36" s="964"/>
    </row>
    <row r="37" spans="2:10" x14ac:dyDescent="0.25">
      <c r="B37" s="975"/>
      <c r="C37" s="92"/>
      <c r="D37" s="962" t="s">
        <v>993</v>
      </c>
      <c r="E37" s="963"/>
      <c r="F37" s="963"/>
      <c r="G37" s="963"/>
      <c r="H37" s="963"/>
      <c r="I37" s="963"/>
      <c r="J37" s="964"/>
    </row>
    <row r="38" spans="2:10" ht="15.75" thickBot="1" x14ac:dyDescent="0.3">
      <c r="B38" s="975"/>
      <c r="C38" s="92"/>
      <c r="D38" s="959" t="s">
        <v>994</v>
      </c>
      <c r="E38" s="960"/>
      <c r="F38" s="960"/>
      <c r="G38" s="960"/>
      <c r="H38" s="960"/>
      <c r="I38" s="960"/>
      <c r="J38" s="961"/>
    </row>
    <row r="39" spans="2:10" ht="15.75" thickBot="1" x14ac:dyDescent="0.3">
      <c r="B39" s="975"/>
      <c r="C39" s="94"/>
      <c r="D39" s="38" t="s">
        <v>763</v>
      </c>
      <c r="E39" s="38" t="s">
        <v>587</v>
      </c>
      <c r="F39" s="38" t="s">
        <v>588</v>
      </c>
      <c r="G39" s="38" t="s">
        <v>589</v>
      </c>
      <c r="H39" s="38" t="s">
        <v>590</v>
      </c>
      <c r="I39" s="38" t="s">
        <v>764</v>
      </c>
      <c r="J39" s="21"/>
    </row>
    <row r="40" spans="2:10" ht="15.75" thickBot="1" x14ac:dyDescent="0.3">
      <c r="B40" s="975"/>
      <c r="C40" s="94"/>
      <c r="D40" s="39" t="s">
        <v>986</v>
      </c>
      <c r="E40" s="207"/>
      <c r="F40" s="207"/>
      <c r="G40" s="207"/>
      <c r="H40" s="207"/>
      <c r="I40" s="136">
        <f>SUM(E40:H40)</f>
        <v>0</v>
      </c>
      <c r="J40" s="21"/>
    </row>
    <row r="41" spans="2:10" ht="15.75" thickBot="1" x14ac:dyDescent="0.3">
      <c r="B41" s="975"/>
      <c r="C41" s="94"/>
      <c r="D41" s="39" t="s">
        <v>987</v>
      </c>
      <c r="E41" s="207"/>
      <c r="F41" s="207"/>
      <c r="G41" s="207"/>
      <c r="H41" s="207"/>
      <c r="I41" s="275"/>
      <c r="J41" s="21"/>
    </row>
    <row r="42" spans="2:10" ht="15.75" thickBot="1" x14ac:dyDescent="0.3">
      <c r="B42" s="975"/>
      <c r="C42" s="94"/>
      <c r="D42" s="39" t="s">
        <v>988</v>
      </c>
      <c r="E42" s="207"/>
      <c r="F42" s="207"/>
      <c r="G42" s="207"/>
      <c r="H42" s="207"/>
      <c r="I42" s="275"/>
      <c r="J42" s="21"/>
    </row>
    <row r="43" spans="2:10" ht="15.75" thickBot="1" x14ac:dyDescent="0.3">
      <c r="B43" s="975"/>
      <c r="C43" s="94"/>
      <c r="D43" s="39" t="s">
        <v>989</v>
      </c>
      <c r="E43" s="207"/>
      <c r="F43" s="207"/>
      <c r="G43" s="207"/>
      <c r="H43" s="207"/>
      <c r="I43" s="275"/>
      <c r="J43" s="21"/>
    </row>
    <row r="44" spans="2:10" ht="15.75" thickBot="1" x14ac:dyDescent="0.3">
      <c r="B44" s="975"/>
      <c r="C44" s="94"/>
      <c r="D44" s="39" t="s">
        <v>990</v>
      </c>
      <c r="E44" s="207"/>
      <c r="F44" s="207"/>
      <c r="G44" s="207"/>
      <c r="H44" s="207"/>
      <c r="I44" s="275"/>
      <c r="J44" s="21"/>
    </row>
    <row r="45" spans="2:10" ht="15.75" thickBot="1" x14ac:dyDescent="0.3">
      <c r="B45" s="975"/>
      <c r="C45" s="94"/>
      <c r="D45" s="39" t="s">
        <v>991</v>
      </c>
      <c r="E45" s="207"/>
      <c r="F45" s="207"/>
      <c r="G45" s="207"/>
      <c r="H45" s="207"/>
      <c r="I45" s="275"/>
      <c r="J45" s="21"/>
    </row>
    <row r="46" spans="2:10" ht="15.75" thickBot="1" x14ac:dyDescent="0.3">
      <c r="B46" s="975"/>
      <c r="C46" s="94"/>
      <c r="D46" s="39" t="s">
        <v>764</v>
      </c>
      <c r="E46" s="136">
        <f>SUM(E41:E45)</f>
        <v>0</v>
      </c>
      <c r="F46" s="136">
        <f>SUM(F41:F45)</f>
        <v>0</v>
      </c>
      <c r="G46" s="136">
        <f>SUM(G41:G45)</f>
        <v>0</v>
      </c>
      <c r="H46" s="136">
        <f>SUM(H41:H45)</f>
        <v>0</v>
      </c>
      <c r="I46" s="275"/>
      <c r="J46" s="21"/>
    </row>
    <row r="47" spans="2:10" x14ac:dyDescent="0.25">
      <c r="B47" s="975"/>
      <c r="C47" s="92"/>
      <c r="D47" s="962" t="s">
        <v>995</v>
      </c>
      <c r="E47" s="963"/>
      <c r="F47" s="963"/>
      <c r="G47" s="963"/>
      <c r="H47" s="963"/>
      <c r="I47" s="963"/>
      <c r="J47" s="964"/>
    </row>
    <row r="48" spans="2:10" x14ac:dyDescent="0.25">
      <c r="B48" s="975"/>
      <c r="C48" s="92"/>
      <c r="D48" s="962" t="s">
        <v>996</v>
      </c>
      <c r="E48" s="963"/>
      <c r="F48" s="963"/>
      <c r="G48" s="963"/>
      <c r="H48" s="963"/>
      <c r="I48" s="963"/>
      <c r="J48" s="964"/>
    </row>
    <row r="49" spans="2:10" x14ac:dyDescent="0.25">
      <c r="B49" s="975"/>
      <c r="C49" s="92"/>
      <c r="D49" s="959" t="s">
        <v>997</v>
      </c>
      <c r="E49" s="960"/>
      <c r="F49" s="960"/>
      <c r="G49" s="960"/>
      <c r="H49" s="960"/>
      <c r="I49" s="960"/>
      <c r="J49" s="961"/>
    </row>
    <row r="50" spans="2:10" ht="15.75" thickBot="1" x14ac:dyDescent="0.3">
      <c r="B50" s="975"/>
      <c r="C50" s="92"/>
      <c r="D50" s="962" t="s">
        <v>985</v>
      </c>
      <c r="E50" s="963"/>
      <c r="F50" s="963"/>
      <c r="G50" s="963"/>
      <c r="H50" s="963"/>
      <c r="I50" s="963"/>
      <c r="J50" s="964"/>
    </row>
    <row r="51" spans="2:10" ht="15.75" thickBot="1" x14ac:dyDescent="0.3">
      <c r="B51" s="975"/>
      <c r="C51" s="94"/>
      <c r="D51" s="38" t="s">
        <v>763</v>
      </c>
      <c r="E51" s="38" t="s">
        <v>587</v>
      </c>
      <c r="F51" s="38" t="s">
        <v>588</v>
      </c>
      <c r="G51" s="38" t="s">
        <v>589</v>
      </c>
      <c r="H51" s="38" t="s">
        <v>590</v>
      </c>
      <c r="I51" s="38" t="s">
        <v>764</v>
      </c>
      <c r="J51" s="21"/>
    </row>
    <row r="52" spans="2:10" ht="15.75" thickBot="1" x14ac:dyDescent="0.3">
      <c r="B52" s="975"/>
      <c r="C52" s="94"/>
      <c r="D52" s="39" t="s">
        <v>986</v>
      </c>
      <c r="E52" s="6"/>
      <c r="F52" s="6"/>
      <c r="G52" s="6"/>
      <c r="H52" s="6"/>
      <c r="I52" s="42">
        <f>SUM(E52:H52)</f>
        <v>0</v>
      </c>
      <c r="J52" s="21"/>
    </row>
    <row r="53" spans="2:10" ht="15.75" thickBot="1" x14ac:dyDescent="0.3">
      <c r="B53" s="975"/>
      <c r="C53" s="94"/>
      <c r="D53" s="39" t="s">
        <v>987</v>
      </c>
      <c r="E53" s="6"/>
      <c r="F53" s="6"/>
      <c r="G53" s="6"/>
      <c r="H53" s="6"/>
      <c r="I53" s="276"/>
      <c r="J53" s="21"/>
    </row>
    <row r="54" spans="2:10" ht="15.75" thickBot="1" x14ac:dyDescent="0.3">
      <c r="B54" s="975"/>
      <c r="C54" s="94"/>
      <c r="D54" s="39" t="s">
        <v>988</v>
      </c>
      <c r="E54" s="6"/>
      <c r="F54" s="6"/>
      <c r="G54" s="6"/>
      <c r="H54" s="6"/>
      <c r="I54" s="276"/>
      <c r="J54" s="21"/>
    </row>
    <row r="55" spans="2:10" ht="15.75" thickBot="1" x14ac:dyDescent="0.3">
      <c r="B55" s="975"/>
      <c r="C55" s="94"/>
      <c r="D55" s="39" t="s">
        <v>989</v>
      </c>
      <c r="E55" s="6"/>
      <c r="F55" s="6"/>
      <c r="G55" s="6"/>
      <c r="H55" s="6"/>
      <c r="I55" s="276"/>
      <c r="J55" s="21"/>
    </row>
    <row r="56" spans="2:10" ht="15.75" thickBot="1" x14ac:dyDescent="0.3">
      <c r="B56" s="975"/>
      <c r="C56" s="94"/>
      <c r="D56" s="39" t="s">
        <v>990</v>
      </c>
      <c r="E56" s="6"/>
      <c r="F56" s="6"/>
      <c r="G56" s="6"/>
      <c r="H56" s="6"/>
      <c r="I56" s="276"/>
      <c r="J56" s="21"/>
    </row>
    <row r="57" spans="2:10" ht="15.75" thickBot="1" x14ac:dyDescent="0.3">
      <c r="B57" s="975"/>
      <c r="C57" s="94"/>
      <c r="D57" s="39" t="s">
        <v>991</v>
      </c>
      <c r="E57" s="271"/>
      <c r="F57" s="271"/>
      <c r="G57" s="271"/>
      <c r="H57" s="271"/>
      <c r="I57" s="276"/>
      <c r="J57" s="21"/>
    </row>
    <row r="58" spans="2:10" ht="15.75" thickBot="1" x14ac:dyDescent="0.3">
      <c r="B58" s="975"/>
      <c r="C58" s="94"/>
      <c r="D58" s="39" t="s">
        <v>764</v>
      </c>
      <c r="E58" s="136">
        <f>SUM(E53:E57)</f>
        <v>0</v>
      </c>
      <c r="F58" s="136">
        <f>SUM(F53:F57)</f>
        <v>0</v>
      </c>
      <c r="G58" s="136">
        <f>SUM(G53:G57)</f>
        <v>0</v>
      </c>
      <c r="H58" s="136">
        <f>SUM(H53:H57)</f>
        <v>0</v>
      </c>
      <c r="I58" s="276"/>
      <c r="J58" s="21"/>
    </row>
    <row r="59" spans="2:10" x14ac:dyDescent="0.25">
      <c r="B59" s="975"/>
      <c r="C59" s="92"/>
      <c r="D59" s="962" t="s">
        <v>992</v>
      </c>
      <c r="E59" s="963"/>
      <c r="F59" s="963"/>
      <c r="G59" s="963"/>
      <c r="H59" s="963"/>
      <c r="I59" s="963"/>
      <c r="J59" s="964"/>
    </row>
    <row r="60" spans="2:10" x14ac:dyDescent="0.25">
      <c r="B60" s="975"/>
      <c r="C60" s="92"/>
      <c r="D60" s="962" t="s">
        <v>993</v>
      </c>
      <c r="E60" s="963"/>
      <c r="F60" s="963"/>
      <c r="G60" s="963"/>
      <c r="H60" s="963"/>
      <c r="I60" s="963"/>
      <c r="J60" s="964"/>
    </row>
    <row r="61" spans="2:10" ht="15.75" thickBot="1" x14ac:dyDescent="0.3">
      <c r="B61" s="975"/>
      <c r="C61" s="92"/>
      <c r="D61" s="959" t="s">
        <v>994</v>
      </c>
      <c r="E61" s="960"/>
      <c r="F61" s="960"/>
      <c r="G61" s="960"/>
      <c r="H61" s="960"/>
      <c r="I61" s="960"/>
      <c r="J61" s="961"/>
    </row>
    <row r="62" spans="2:10" ht="15.75" thickBot="1" x14ac:dyDescent="0.3">
      <c r="B62" s="975"/>
      <c r="C62" s="94"/>
      <c r="D62" s="38" t="s">
        <v>763</v>
      </c>
      <c r="E62" s="38" t="s">
        <v>587</v>
      </c>
      <c r="F62" s="38" t="s">
        <v>588</v>
      </c>
      <c r="G62" s="38" t="s">
        <v>589</v>
      </c>
      <c r="H62" s="38" t="s">
        <v>590</v>
      </c>
      <c r="I62" s="38" t="s">
        <v>764</v>
      </c>
      <c r="J62" s="21"/>
    </row>
    <row r="63" spans="2:10" ht="15.75" thickBot="1" x14ac:dyDescent="0.3">
      <c r="B63" s="975"/>
      <c r="C63" s="94"/>
      <c r="D63" s="39" t="s">
        <v>986</v>
      </c>
      <c r="E63" s="186"/>
      <c r="F63" s="186"/>
      <c r="G63" s="186"/>
      <c r="H63" s="186"/>
      <c r="I63" s="136">
        <f>SUM(E63:H63)</f>
        <v>0</v>
      </c>
      <c r="J63" s="21"/>
    </row>
    <row r="64" spans="2:10" ht="15.75" thickBot="1" x14ac:dyDescent="0.3">
      <c r="B64" s="975"/>
      <c r="C64" s="94"/>
      <c r="D64" s="39" t="s">
        <v>987</v>
      </c>
      <c r="E64" s="186"/>
      <c r="F64" s="186"/>
      <c r="G64" s="186"/>
      <c r="H64" s="186"/>
      <c r="I64" s="276"/>
      <c r="J64" s="21"/>
    </row>
    <row r="65" spans="2:11" ht="15.75" thickBot="1" x14ac:dyDescent="0.3">
      <c r="B65" s="975"/>
      <c r="C65" s="94"/>
      <c r="D65" s="39" t="s">
        <v>988</v>
      </c>
      <c r="E65" s="186"/>
      <c r="F65" s="186"/>
      <c r="G65" s="186"/>
      <c r="H65" s="186"/>
      <c r="I65" s="276"/>
      <c r="J65" s="21"/>
    </row>
    <row r="66" spans="2:11" ht="15.75" thickBot="1" x14ac:dyDescent="0.3">
      <c r="B66" s="975"/>
      <c r="C66" s="94"/>
      <c r="D66" s="39" t="s">
        <v>989</v>
      </c>
      <c r="E66" s="186"/>
      <c r="F66" s="186"/>
      <c r="G66" s="186"/>
      <c r="H66" s="186"/>
      <c r="I66" s="276"/>
      <c r="J66" s="21"/>
    </row>
    <row r="67" spans="2:11" ht="15.75" thickBot="1" x14ac:dyDescent="0.3">
      <c r="B67" s="975"/>
      <c r="C67" s="94"/>
      <c r="D67" s="39" t="s">
        <v>990</v>
      </c>
      <c r="E67" s="186"/>
      <c r="F67" s="186"/>
      <c r="G67" s="186"/>
      <c r="H67" s="186"/>
      <c r="I67" s="276"/>
      <c r="J67" s="21"/>
    </row>
    <row r="68" spans="2:11" ht="15.75" thickBot="1" x14ac:dyDescent="0.3">
      <c r="B68" s="975"/>
      <c r="C68" s="94"/>
      <c r="D68" s="39" t="s">
        <v>998</v>
      </c>
      <c r="E68" s="186"/>
      <c r="F68" s="186"/>
      <c r="G68" s="186"/>
      <c r="H68" s="186"/>
      <c r="I68" s="276"/>
      <c r="J68" s="21"/>
    </row>
    <row r="69" spans="2:11" ht="15.75" thickBot="1" x14ac:dyDescent="0.3">
      <c r="B69" s="975"/>
      <c r="C69" s="94"/>
      <c r="D69" s="39" t="s">
        <v>764</v>
      </c>
      <c r="E69" s="136">
        <f>SUM(E64:E68)</f>
        <v>0</v>
      </c>
      <c r="F69" s="136">
        <f>SUM(F64:F68)</f>
        <v>0</v>
      </c>
      <c r="G69" s="136">
        <f>SUM(G64:G68)</f>
        <v>0</v>
      </c>
      <c r="H69" s="136">
        <f>SUM(H64:H68)</f>
        <v>0</v>
      </c>
      <c r="I69" s="276"/>
      <c r="J69" s="21"/>
    </row>
    <row r="70" spans="2:11" x14ac:dyDescent="0.25">
      <c r="B70" s="975"/>
      <c r="C70" s="92"/>
      <c r="D70" s="962" t="s">
        <v>995</v>
      </c>
      <c r="E70" s="963"/>
      <c r="F70" s="963"/>
      <c r="G70" s="963"/>
      <c r="H70" s="963"/>
      <c r="I70" s="963"/>
      <c r="J70" s="964"/>
    </row>
    <row r="71" spans="2:11" x14ac:dyDescent="0.25">
      <c r="B71" s="975"/>
      <c r="C71" s="92"/>
      <c r="D71" s="962" t="s">
        <v>996</v>
      </c>
      <c r="E71" s="963"/>
      <c r="F71" s="963"/>
      <c r="G71" s="963"/>
      <c r="H71" s="963"/>
      <c r="I71" s="963"/>
      <c r="J71" s="964"/>
    </row>
    <row r="72" spans="2:11" ht="15.75" thickBot="1" x14ac:dyDescent="0.3">
      <c r="B72" s="975"/>
      <c r="C72" s="92"/>
      <c r="D72" s="953" t="s">
        <v>999</v>
      </c>
      <c r="E72" s="954"/>
      <c r="F72" s="954"/>
      <c r="G72" s="954"/>
      <c r="H72" s="954"/>
      <c r="I72" s="954"/>
      <c r="J72" s="955"/>
    </row>
    <row r="73" spans="2:11" ht="33" customHeight="1" x14ac:dyDescent="0.25">
      <c r="B73" s="975"/>
      <c r="C73" s="94"/>
      <c r="D73" s="958" t="s">
        <v>1000</v>
      </c>
      <c r="E73" s="974" t="s">
        <v>1001</v>
      </c>
      <c r="F73" s="974" t="s">
        <v>1002</v>
      </c>
      <c r="G73" s="974" t="s">
        <v>1003</v>
      </c>
      <c r="H73" s="974" t="s">
        <v>1004</v>
      </c>
      <c r="I73" s="974" t="s">
        <v>1005</v>
      </c>
      <c r="J73" s="63" t="s">
        <v>1006</v>
      </c>
      <c r="K73" s="5"/>
    </row>
    <row r="74" spans="2:11" ht="24.75" thickBot="1" x14ac:dyDescent="0.3">
      <c r="B74" s="975"/>
      <c r="C74" s="94"/>
      <c r="D74" s="988"/>
      <c r="E74" s="976"/>
      <c r="F74" s="976"/>
      <c r="G74" s="976"/>
      <c r="H74" s="976"/>
      <c r="I74" s="976"/>
      <c r="J74" s="40" t="s">
        <v>1007</v>
      </c>
      <c r="K74" s="5"/>
    </row>
    <row r="75" spans="2:11" ht="15.75" thickBot="1" x14ac:dyDescent="0.3">
      <c r="B75" s="975"/>
      <c r="C75" s="94"/>
      <c r="D75" s="29"/>
      <c r="E75" s="29"/>
      <c r="F75" s="29"/>
      <c r="G75" s="186"/>
      <c r="H75" s="186"/>
      <c r="I75" s="29"/>
      <c r="J75" s="29"/>
      <c r="K75" s="5"/>
    </row>
    <row r="76" spans="2:11" ht="15.75" thickBot="1" x14ac:dyDescent="0.3">
      <c r="B76" s="975"/>
      <c r="C76" s="94"/>
      <c r="D76" s="29"/>
      <c r="E76" s="29"/>
      <c r="F76" s="29"/>
      <c r="G76" s="186"/>
      <c r="H76" s="186"/>
      <c r="I76" s="29"/>
      <c r="J76" s="29"/>
      <c r="K76" s="5"/>
    </row>
    <row r="77" spans="2:11" ht="15.75" thickBot="1" x14ac:dyDescent="0.3">
      <c r="B77" s="975"/>
      <c r="C77" s="94"/>
      <c r="D77" s="29"/>
      <c r="E77" s="29"/>
      <c r="F77" s="29"/>
      <c r="G77" s="186"/>
      <c r="H77" s="186"/>
      <c r="I77" s="29"/>
      <c r="J77" s="29"/>
      <c r="K77" s="5"/>
    </row>
    <row r="78" spans="2:11" ht="15.75" thickBot="1" x14ac:dyDescent="0.3">
      <c r="B78" s="975"/>
      <c r="C78" s="94"/>
      <c r="D78" s="29"/>
      <c r="E78" s="29"/>
      <c r="F78" s="29"/>
      <c r="G78" s="186"/>
      <c r="H78" s="186"/>
      <c r="I78" s="29"/>
      <c r="J78" s="29"/>
      <c r="K78" s="5"/>
    </row>
    <row r="79" spans="2:11" ht="15.75" thickBot="1" x14ac:dyDescent="0.3">
      <c r="B79" s="975"/>
      <c r="C79" s="94"/>
      <c r="D79" s="29"/>
      <c r="E79" s="29"/>
      <c r="F79" s="29"/>
      <c r="G79" s="186"/>
      <c r="H79" s="186"/>
      <c r="I79" s="29"/>
      <c r="J79" s="29"/>
      <c r="K79" s="5"/>
    </row>
    <row r="80" spans="2:11" ht="15.75" thickBot="1" x14ac:dyDescent="0.3">
      <c r="B80" s="975"/>
      <c r="C80" s="94"/>
      <c r="D80" s="29"/>
      <c r="E80" s="29"/>
      <c r="F80" s="29"/>
      <c r="G80" s="186"/>
      <c r="H80" s="186"/>
      <c r="I80" s="29"/>
      <c r="J80" s="29"/>
      <c r="K80" s="5"/>
    </row>
    <row r="81" spans="2:11" ht="15.75" thickBot="1" x14ac:dyDescent="0.3">
      <c r="B81" s="975"/>
      <c r="C81" s="94"/>
      <c r="D81" s="29"/>
      <c r="E81" s="29"/>
      <c r="F81" s="29"/>
      <c r="G81" s="186"/>
      <c r="H81" s="186"/>
      <c r="I81" s="29"/>
      <c r="J81" s="29"/>
      <c r="K81" s="5"/>
    </row>
    <row r="82" spans="2:11" ht="15.75" thickBot="1" x14ac:dyDescent="0.3">
      <c r="B82" s="975"/>
      <c r="C82" s="94"/>
      <c r="D82" s="29"/>
      <c r="E82" s="29"/>
      <c r="F82" s="29"/>
      <c r="G82" s="186"/>
      <c r="H82" s="186"/>
      <c r="I82" s="29"/>
      <c r="J82" s="29"/>
      <c r="K82" s="5"/>
    </row>
    <row r="83" spans="2:11" ht="15.75" thickBot="1" x14ac:dyDescent="0.3">
      <c r="B83" s="975"/>
      <c r="C83" s="94"/>
      <c r="D83" s="29"/>
      <c r="E83" s="29"/>
      <c r="F83" s="29"/>
      <c r="G83" s="186"/>
      <c r="H83" s="186"/>
      <c r="I83" s="29"/>
      <c r="J83" s="29"/>
      <c r="K83" s="5"/>
    </row>
    <row r="84" spans="2:11" ht="15.75" thickBot="1" x14ac:dyDescent="0.3">
      <c r="B84" s="975"/>
      <c r="C84" s="94"/>
      <c r="D84" s="29"/>
      <c r="E84" s="29"/>
      <c r="F84" s="29"/>
      <c r="G84" s="186"/>
      <c r="H84" s="186"/>
      <c r="I84" s="29"/>
      <c r="J84" s="29"/>
      <c r="K84" s="5"/>
    </row>
    <row r="85" spans="2:11" ht="15.75" thickBot="1" x14ac:dyDescent="0.3">
      <c r="B85" s="975"/>
      <c r="C85" s="94"/>
      <c r="D85" s="29"/>
      <c r="E85" s="29"/>
      <c r="F85" s="29"/>
      <c r="G85" s="186"/>
      <c r="H85" s="186"/>
      <c r="I85" s="29"/>
      <c r="J85" s="29"/>
      <c r="K85" s="5"/>
    </row>
    <row r="86" spans="2:11" ht="15.75" thickBot="1" x14ac:dyDescent="0.3">
      <c r="B86" s="975"/>
      <c r="C86" s="94"/>
      <c r="D86" s="29"/>
      <c r="E86" s="29"/>
      <c r="F86" s="29"/>
      <c r="G86" s="186"/>
      <c r="H86" s="186"/>
      <c r="I86" s="29"/>
      <c r="J86" s="29"/>
      <c r="K86" s="5"/>
    </row>
    <row r="87" spans="2:11" ht="15.75" thickBot="1" x14ac:dyDescent="0.3">
      <c r="B87" s="975"/>
      <c r="C87" s="94"/>
      <c r="D87" s="29"/>
      <c r="E87" s="29"/>
      <c r="F87" s="29"/>
      <c r="G87" s="186"/>
      <c r="H87" s="186"/>
      <c r="I87" s="29"/>
      <c r="J87" s="29"/>
      <c r="K87" s="5"/>
    </row>
    <row r="88" spans="2:11" ht="15.75" thickBot="1" x14ac:dyDescent="0.3">
      <c r="B88" s="975"/>
      <c r="C88" s="94"/>
      <c r="D88" s="29"/>
      <c r="E88" s="29"/>
      <c r="F88" s="29"/>
      <c r="G88" s="186"/>
      <c r="H88" s="186"/>
      <c r="I88" s="29"/>
      <c r="J88" s="29"/>
      <c r="K88" s="5"/>
    </row>
    <row r="89" spans="2:11" x14ac:dyDescent="0.25">
      <c r="B89" s="975"/>
      <c r="C89" s="92"/>
      <c r="D89" s="956" t="s">
        <v>1008</v>
      </c>
      <c r="E89" s="957"/>
      <c r="F89" s="957"/>
      <c r="G89" s="957"/>
      <c r="H89" s="957"/>
      <c r="I89" s="957"/>
      <c r="J89" s="958"/>
      <c r="K89" s="5"/>
    </row>
    <row r="90" spans="2:11" ht="15.75" thickBot="1" x14ac:dyDescent="0.3">
      <c r="B90" s="975"/>
      <c r="C90" s="92"/>
      <c r="D90" s="986" t="s">
        <v>1009</v>
      </c>
      <c r="E90" s="987"/>
      <c r="F90" s="987"/>
      <c r="G90" s="987"/>
      <c r="H90" s="987"/>
      <c r="I90" s="987"/>
      <c r="J90" s="988"/>
      <c r="K90" s="5"/>
    </row>
    <row r="91" spans="2:11" x14ac:dyDescent="0.25">
      <c r="B91" s="975"/>
      <c r="C91" s="92"/>
      <c r="D91" s="234"/>
      <c r="E91" s="130"/>
      <c r="F91" s="130"/>
      <c r="G91" s="130"/>
      <c r="H91" s="130"/>
      <c r="I91" s="130"/>
      <c r="J91" s="46"/>
      <c r="K91" s="5"/>
    </row>
    <row r="92" spans="2:11" ht="15.75" thickBot="1" x14ac:dyDescent="0.3">
      <c r="B92" s="975"/>
      <c r="C92" s="92"/>
      <c r="D92" s="234" t="s">
        <v>1010</v>
      </c>
      <c r="E92" s="130"/>
      <c r="F92" s="130"/>
      <c r="G92" s="130"/>
      <c r="H92" s="130"/>
      <c r="I92" s="130"/>
      <c r="J92" s="46"/>
      <c r="K92" s="5"/>
    </row>
    <row r="93" spans="2:11" x14ac:dyDescent="0.25">
      <c r="B93" s="975"/>
      <c r="C93" s="92"/>
      <c r="D93" s="277" t="s">
        <v>763</v>
      </c>
      <c r="E93" s="278" t="s">
        <v>587</v>
      </c>
      <c r="F93" s="278" t="s">
        <v>588</v>
      </c>
      <c r="G93" s="278" t="s">
        <v>589</v>
      </c>
      <c r="H93" s="278" t="s">
        <v>590</v>
      </c>
      <c r="I93" s="279" t="s">
        <v>764</v>
      </c>
      <c r="J93" s="46"/>
      <c r="K93" s="5"/>
    </row>
    <row r="94" spans="2:11" x14ac:dyDescent="0.25">
      <c r="B94" s="975"/>
      <c r="C94" s="92"/>
      <c r="D94" s="280" t="s">
        <v>1011</v>
      </c>
      <c r="E94" s="281">
        <f>+E63+E40</f>
        <v>0</v>
      </c>
      <c r="F94" s="281">
        <f>+F63+F40</f>
        <v>0</v>
      </c>
      <c r="G94" s="281">
        <f>+G63+G40</f>
        <v>0</v>
      </c>
      <c r="H94" s="281">
        <f>+H63+H40</f>
        <v>0</v>
      </c>
      <c r="I94" s="282">
        <f>SUM(E94:H94)</f>
        <v>0</v>
      </c>
      <c r="J94" s="46"/>
      <c r="K94" s="5"/>
    </row>
    <row r="95" spans="2:11" ht="36" x14ac:dyDescent="0.25">
      <c r="B95" s="975"/>
      <c r="C95" s="92"/>
      <c r="D95" s="283" t="s">
        <v>1012</v>
      </c>
      <c r="E95" s="281">
        <f>+E68+E45</f>
        <v>0</v>
      </c>
      <c r="F95" s="281">
        <f>+F68+F45</f>
        <v>0</v>
      </c>
      <c r="G95" s="281">
        <f>+G68+G45</f>
        <v>0</v>
      </c>
      <c r="H95" s="281">
        <f>+H68+H45</f>
        <v>0</v>
      </c>
      <c r="I95" s="282">
        <f>SUM(E95:H95)</f>
        <v>0</v>
      </c>
      <c r="J95" s="46"/>
      <c r="K95" s="5"/>
    </row>
    <row r="96" spans="2:11" ht="48.75" thickBot="1" x14ac:dyDescent="0.3">
      <c r="B96" s="975"/>
      <c r="C96" s="92"/>
      <c r="D96" s="283" t="s">
        <v>17</v>
      </c>
      <c r="E96" s="284" t="str">
        <f>IFERROR(E95/E94,"N.A.")</f>
        <v>N.A.</v>
      </c>
      <c r="F96" s="284" t="str">
        <f>IFERROR(F95/F94,"N.A.")</f>
        <v>N.A.</v>
      </c>
      <c r="G96" s="284" t="str">
        <f>IFERROR(G95/G94,"N.A.")</f>
        <v>N.A.</v>
      </c>
      <c r="H96" s="284" t="str">
        <f>IFERROR(H95/H94,"N.A.")</f>
        <v>N.A.</v>
      </c>
      <c r="I96" s="284" t="str">
        <f>IFERROR(I95/I94,"N.A.")</f>
        <v>N.A.</v>
      </c>
      <c r="J96" s="46"/>
      <c r="K96" s="5"/>
    </row>
    <row r="97" spans="2:11" ht="24" customHeight="1" thickBot="1" x14ac:dyDescent="0.3">
      <c r="B97" s="976"/>
      <c r="C97" s="93"/>
      <c r="J97" s="46"/>
      <c r="K97" s="5"/>
    </row>
    <row r="98" spans="2:11" ht="24" customHeight="1" thickBot="1" x14ac:dyDescent="0.3">
      <c r="B98" s="47" t="s">
        <v>671</v>
      </c>
      <c r="C98" s="93"/>
      <c r="D98" s="983" t="s">
        <v>1013</v>
      </c>
      <c r="E98" s="984"/>
      <c r="F98" s="984"/>
      <c r="G98" s="984"/>
      <c r="H98" s="984"/>
      <c r="I98" s="984"/>
      <c r="J98" s="985"/>
      <c r="K98" s="5"/>
    </row>
    <row r="99" spans="2:11" ht="24" customHeight="1" x14ac:dyDescent="0.25">
      <c r="B99" s="974" t="s">
        <v>673</v>
      </c>
      <c r="C99" s="89"/>
      <c r="D99" s="956" t="s">
        <v>953</v>
      </c>
      <c r="E99" s="957"/>
      <c r="F99" s="957"/>
      <c r="G99" s="957"/>
      <c r="H99" s="957"/>
      <c r="I99" s="957"/>
      <c r="J99" s="958"/>
      <c r="K99" s="5"/>
    </row>
    <row r="100" spans="2:11" ht="48" customHeight="1" x14ac:dyDescent="0.25">
      <c r="B100" s="975"/>
      <c r="C100" s="92"/>
      <c r="D100" s="962" t="s">
        <v>1014</v>
      </c>
      <c r="E100" s="963"/>
      <c r="F100" s="963"/>
      <c r="G100" s="963"/>
      <c r="H100" s="963"/>
      <c r="I100" s="963"/>
      <c r="J100" s="964"/>
      <c r="K100" s="5"/>
    </row>
    <row r="101" spans="2:11" ht="60" customHeight="1" thickBot="1" x14ac:dyDescent="0.3">
      <c r="B101" s="976"/>
      <c r="C101" s="93"/>
      <c r="D101" s="986" t="s">
        <v>1015</v>
      </c>
      <c r="E101" s="987"/>
      <c r="F101" s="987"/>
      <c r="G101" s="987"/>
      <c r="H101" s="987"/>
      <c r="I101" s="987"/>
      <c r="J101" s="988"/>
      <c r="K101" s="5"/>
    </row>
    <row r="102" spans="2:11" ht="15.75" thickBot="1" x14ac:dyDescent="0.3">
      <c r="B102" s="1"/>
      <c r="C102" s="76"/>
      <c r="D102" s="5"/>
      <c r="E102" s="5"/>
      <c r="F102" s="5"/>
      <c r="G102" s="5"/>
      <c r="H102" s="5"/>
      <c r="I102" s="5"/>
      <c r="J102" s="5"/>
      <c r="K102" s="5"/>
    </row>
    <row r="103" spans="2:11" ht="24" customHeight="1" thickBot="1" x14ac:dyDescent="0.3">
      <c r="B103" s="971" t="s">
        <v>675</v>
      </c>
      <c r="C103" s="972"/>
      <c r="D103" s="972"/>
      <c r="E103" s="973"/>
      <c r="F103" s="5"/>
      <c r="G103" s="5"/>
      <c r="H103" s="5"/>
      <c r="I103" s="5"/>
      <c r="J103" s="5"/>
      <c r="K103" s="5"/>
    </row>
    <row r="104" spans="2:11" ht="48.75" thickBot="1" x14ac:dyDescent="0.3">
      <c r="B104" s="974">
        <v>1</v>
      </c>
      <c r="C104" s="94"/>
      <c r="D104" s="48" t="s">
        <v>676</v>
      </c>
      <c r="E104" s="337" t="s">
        <v>2301</v>
      </c>
      <c r="F104" s="5"/>
      <c r="G104" s="5"/>
      <c r="H104" s="5"/>
      <c r="I104" s="5"/>
      <c r="J104" s="5"/>
      <c r="K104" s="5"/>
    </row>
    <row r="105" spans="2:11" ht="48.75" thickBot="1" x14ac:dyDescent="0.3">
      <c r="B105" s="975"/>
      <c r="C105" s="94"/>
      <c r="D105" s="40" t="s">
        <v>525</v>
      </c>
      <c r="E105" s="337" t="s">
        <v>2311</v>
      </c>
      <c r="F105" s="5"/>
      <c r="G105" s="5"/>
      <c r="H105" s="5"/>
      <c r="I105" s="5"/>
      <c r="J105" s="5"/>
      <c r="K105" s="5"/>
    </row>
    <row r="106" spans="2:11" ht="36.75" thickBot="1" x14ac:dyDescent="0.3">
      <c r="B106" s="975"/>
      <c r="C106" s="94"/>
      <c r="D106" s="40" t="s">
        <v>677</v>
      </c>
      <c r="E106" s="337" t="s">
        <v>2303</v>
      </c>
      <c r="F106" s="5"/>
      <c r="G106" s="5"/>
      <c r="H106" s="5"/>
      <c r="I106" s="5"/>
      <c r="J106" s="5"/>
      <c r="K106" s="5"/>
    </row>
    <row r="107" spans="2:11" ht="15.75" thickBot="1" x14ac:dyDescent="0.3">
      <c r="B107" s="975"/>
      <c r="C107" s="94"/>
      <c r="D107" s="40" t="s">
        <v>527</v>
      </c>
      <c r="E107" s="337" t="s">
        <v>2304</v>
      </c>
      <c r="F107" s="5"/>
      <c r="G107" s="5"/>
      <c r="H107" s="5"/>
      <c r="I107" s="5"/>
      <c r="J107" s="5"/>
      <c r="K107" s="5"/>
    </row>
    <row r="108" spans="2:11" ht="60.75" thickBot="1" x14ac:dyDescent="0.3">
      <c r="B108" s="975"/>
      <c r="C108" s="94"/>
      <c r="D108" s="40" t="s">
        <v>529</v>
      </c>
      <c r="E108" s="766" t="s">
        <v>2309</v>
      </c>
      <c r="F108" s="5"/>
      <c r="G108" s="5"/>
      <c r="H108" s="5"/>
      <c r="I108" s="5"/>
      <c r="J108" s="5"/>
      <c r="K108" s="5"/>
    </row>
    <row r="109" spans="2:11" ht="15.75" thickBot="1" x14ac:dyDescent="0.3">
      <c r="B109" s="975"/>
      <c r="C109" s="94"/>
      <c r="D109" s="40" t="s">
        <v>531</v>
      </c>
      <c r="E109" s="337">
        <v>5748960</v>
      </c>
      <c r="F109" s="5"/>
      <c r="G109" s="5"/>
      <c r="H109" s="5"/>
      <c r="I109" s="5"/>
      <c r="J109" s="5"/>
      <c r="K109" s="5"/>
    </row>
    <row r="110" spans="2:11" ht="60.75" thickBot="1" x14ac:dyDescent="0.3">
      <c r="B110" s="976"/>
      <c r="C110" s="2"/>
      <c r="D110" s="40" t="s">
        <v>678</v>
      </c>
      <c r="E110" s="337" t="s">
        <v>2312</v>
      </c>
      <c r="F110" s="5"/>
      <c r="G110" s="5"/>
      <c r="H110" s="5"/>
      <c r="I110" s="5"/>
      <c r="J110" s="5"/>
      <c r="K110" s="5"/>
    </row>
    <row r="111" spans="2:11" ht="15.75" thickBot="1" x14ac:dyDescent="0.3">
      <c r="B111" s="1"/>
      <c r="C111" s="76"/>
      <c r="D111" s="5"/>
      <c r="E111" s="5"/>
      <c r="F111" s="5"/>
      <c r="G111" s="5"/>
      <c r="H111" s="5"/>
      <c r="I111" s="5"/>
      <c r="J111" s="5"/>
      <c r="K111" s="5"/>
    </row>
    <row r="112" spans="2:11" ht="15.75" thickBot="1" x14ac:dyDescent="0.3">
      <c r="B112" s="971" t="s">
        <v>679</v>
      </c>
      <c r="C112" s="972"/>
      <c r="D112" s="972"/>
      <c r="E112" s="973"/>
      <c r="F112" s="5"/>
      <c r="G112" s="5"/>
      <c r="H112" s="5"/>
      <c r="I112" s="5"/>
      <c r="J112" s="5"/>
      <c r="K112" s="5"/>
    </row>
    <row r="113" spans="2:11" ht="60.75" thickBot="1" x14ac:dyDescent="0.3">
      <c r="B113" s="974">
        <v>1</v>
      </c>
      <c r="C113" s="94"/>
      <c r="D113" s="48" t="s">
        <v>676</v>
      </c>
      <c r="E113" s="771" t="s">
        <v>680</v>
      </c>
      <c r="F113" s="5"/>
      <c r="G113" s="5"/>
      <c r="H113" s="5"/>
      <c r="I113" s="5"/>
      <c r="J113" s="5"/>
      <c r="K113" s="5"/>
    </row>
    <row r="114" spans="2:11" ht="84.75" thickBot="1" x14ac:dyDescent="0.3">
      <c r="B114" s="975"/>
      <c r="C114" s="94"/>
      <c r="D114" s="40" t="s">
        <v>525</v>
      </c>
      <c r="E114" s="771" t="s">
        <v>773</v>
      </c>
      <c r="F114" s="5"/>
      <c r="G114" s="5"/>
      <c r="H114" s="5"/>
      <c r="I114" s="5"/>
      <c r="J114" s="5"/>
      <c r="K114" s="5"/>
    </row>
    <row r="115" spans="2:11" ht="15.75" thickBot="1" x14ac:dyDescent="0.3">
      <c r="B115" s="975"/>
      <c r="C115" s="94"/>
      <c r="D115" s="40" t="s">
        <v>677</v>
      </c>
      <c r="E115" s="239"/>
      <c r="F115" s="5"/>
      <c r="G115" s="5"/>
      <c r="H115" s="5"/>
      <c r="I115" s="5"/>
      <c r="J115" s="5"/>
      <c r="K115" s="5"/>
    </row>
    <row r="116" spans="2:11" ht="15.75" thickBot="1" x14ac:dyDescent="0.3">
      <c r="B116" s="975"/>
      <c r="C116" s="94"/>
      <c r="D116" s="40" t="s">
        <v>527</v>
      </c>
      <c r="E116" s="239"/>
      <c r="F116" s="5"/>
      <c r="G116" s="5"/>
      <c r="H116" s="5"/>
      <c r="I116" s="5"/>
      <c r="J116" s="5"/>
      <c r="K116" s="5"/>
    </row>
    <row r="117" spans="2:11" ht="15.75" thickBot="1" x14ac:dyDescent="0.3">
      <c r="B117" s="975"/>
      <c r="C117" s="94"/>
      <c r="D117" s="40" t="s">
        <v>529</v>
      </c>
      <c r="E117" s="239"/>
      <c r="F117" s="5"/>
      <c r="G117" s="5"/>
      <c r="H117" s="5"/>
      <c r="I117" s="5"/>
      <c r="J117" s="5"/>
      <c r="K117" s="5"/>
    </row>
    <row r="118" spans="2:11" ht="15.75" thickBot="1" x14ac:dyDescent="0.3">
      <c r="B118" s="975"/>
      <c r="C118" s="94"/>
      <c r="D118" s="40" t="s">
        <v>531</v>
      </c>
      <c r="E118" s="239"/>
      <c r="F118" s="5"/>
      <c r="G118" s="5"/>
      <c r="H118" s="5"/>
      <c r="I118" s="5"/>
      <c r="J118" s="5"/>
      <c r="K118" s="5"/>
    </row>
    <row r="119" spans="2:11" ht="15.75" thickBot="1" x14ac:dyDescent="0.3">
      <c r="B119" s="976"/>
      <c r="C119" s="2"/>
      <c r="D119" s="40" t="s">
        <v>678</v>
      </c>
      <c r="E119" s="239"/>
      <c r="F119" s="5"/>
      <c r="G119" s="5"/>
      <c r="H119" s="5"/>
      <c r="I119" s="5"/>
      <c r="J119" s="5"/>
      <c r="K119" s="5"/>
    </row>
    <row r="120" spans="2:11" ht="15.75" thickBot="1" x14ac:dyDescent="0.3">
      <c r="B120" s="1"/>
      <c r="C120" s="76"/>
      <c r="D120" s="5"/>
      <c r="E120" s="5"/>
      <c r="F120" s="5"/>
      <c r="G120" s="5"/>
      <c r="H120" s="5"/>
      <c r="I120" s="5"/>
      <c r="J120" s="5"/>
      <c r="K120" s="5"/>
    </row>
    <row r="121" spans="2:11" ht="15" customHeight="1" thickBot="1" x14ac:dyDescent="0.3">
      <c r="B121" s="119" t="s">
        <v>682</v>
      </c>
      <c r="C121" s="120"/>
      <c r="D121" s="120"/>
      <c r="E121" s="121"/>
      <c r="G121" s="5"/>
      <c r="H121" s="5"/>
      <c r="I121" s="5"/>
      <c r="J121" s="5"/>
      <c r="K121" s="5"/>
    </row>
    <row r="122" spans="2:11" ht="24.75" thickBot="1" x14ac:dyDescent="0.3">
      <c r="B122" s="47" t="s">
        <v>683</v>
      </c>
      <c r="C122" s="40" t="s">
        <v>684</v>
      </c>
      <c r="D122" s="40" t="s">
        <v>685</v>
      </c>
      <c r="E122" s="40" t="s">
        <v>686</v>
      </c>
      <c r="F122" s="5"/>
      <c r="G122" s="5"/>
      <c r="H122" s="5"/>
      <c r="I122" s="5"/>
      <c r="J122" s="5"/>
    </row>
    <row r="123" spans="2:11" ht="96.75" thickBot="1" x14ac:dyDescent="0.3">
      <c r="B123" s="49">
        <v>42401</v>
      </c>
      <c r="C123" s="40">
        <v>0.01</v>
      </c>
      <c r="D123" s="50" t="s">
        <v>1016</v>
      </c>
      <c r="E123" s="40"/>
      <c r="F123" s="5"/>
      <c r="G123" s="5"/>
      <c r="H123" s="5"/>
      <c r="I123" s="5"/>
      <c r="J123" s="5"/>
    </row>
    <row r="124" spans="2:11" ht="15.75" thickBot="1" x14ac:dyDescent="0.3">
      <c r="B124" s="1"/>
      <c r="C124" s="76"/>
      <c r="D124" s="5"/>
      <c r="E124" s="5"/>
      <c r="F124" s="5"/>
      <c r="G124" s="5"/>
      <c r="H124" s="5"/>
      <c r="I124" s="5"/>
      <c r="J124" s="5"/>
      <c r="K124" s="5"/>
    </row>
    <row r="125" spans="2:11" ht="15.75" thickBot="1" x14ac:dyDescent="0.3">
      <c r="B125" s="4" t="s">
        <v>593</v>
      </c>
      <c r="C125" s="96"/>
      <c r="D125" s="5"/>
      <c r="E125" s="5"/>
      <c r="F125" s="5"/>
      <c r="G125" s="5"/>
      <c r="H125" s="5"/>
      <c r="I125" s="5"/>
      <c r="J125" s="5"/>
      <c r="K125" s="5"/>
    </row>
    <row r="126" spans="2:11" x14ac:dyDescent="0.25">
      <c r="B126" s="1054" t="s">
        <v>1017</v>
      </c>
      <c r="C126" s="1055"/>
      <c r="D126" s="1055"/>
      <c r="E126" s="1055"/>
      <c r="F126" s="1055"/>
      <c r="G126" s="1055"/>
      <c r="H126" s="1055"/>
      <c r="I126" s="1055"/>
      <c r="J126" s="1055"/>
      <c r="K126" s="5"/>
    </row>
    <row r="127" spans="2:11" ht="24" customHeight="1" x14ac:dyDescent="0.25">
      <c r="B127" s="1054"/>
      <c r="C127" s="1055"/>
      <c r="D127" s="1055"/>
      <c r="E127" s="1055"/>
      <c r="F127" s="1055"/>
      <c r="G127" s="1055"/>
      <c r="H127" s="1055"/>
      <c r="I127" s="1055"/>
      <c r="J127" s="1055"/>
      <c r="K127" s="5"/>
    </row>
    <row r="128" spans="2:11" x14ac:dyDescent="0.25">
      <c r="B128" s="1056"/>
      <c r="C128" s="1057"/>
      <c r="D128" s="1057"/>
      <c r="E128" s="1057"/>
      <c r="F128" s="1057"/>
      <c r="G128" s="1057"/>
      <c r="H128" s="1057"/>
      <c r="I128" s="1057"/>
      <c r="J128" s="1057"/>
      <c r="K128" s="5"/>
    </row>
    <row r="129" spans="2:11" ht="15.75" thickBot="1" x14ac:dyDescent="0.3">
      <c r="B129" s="5"/>
      <c r="D129" s="5"/>
      <c r="E129" s="5"/>
      <c r="F129" s="5"/>
      <c r="G129" s="5"/>
      <c r="H129" s="5"/>
      <c r="I129" s="5"/>
      <c r="J129" s="5"/>
      <c r="K129" s="5"/>
    </row>
    <row r="130" spans="2:11" ht="15.75" thickBot="1" x14ac:dyDescent="0.3">
      <c r="B130" s="971" t="s">
        <v>688</v>
      </c>
      <c r="C130" s="972"/>
      <c r="D130" s="973"/>
      <c r="E130" s="5"/>
      <c r="F130" s="5"/>
      <c r="G130" s="5"/>
      <c r="H130" s="5"/>
      <c r="I130" s="5"/>
      <c r="J130" s="5"/>
      <c r="K130" s="5"/>
    </row>
    <row r="131" spans="2:11" ht="108.75" thickBot="1" x14ac:dyDescent="0.3">
      <c r="B131" s="47" t="s">
        <v>689</v>
      </c>
      <c r="C131" s="2"/>
      <c r="D131" s="40" t="s">
        <v>1018</v>
      </c>
      <c r="E131" s="5"/>
      <c r="F131" s="5"/>
      <c r="G131" s="5"/>
      <c r="H131" s="5"/>
      <c r="I131" s="5"/>
      <c r="J131" s="5"/>
      <c r="K131" s="5"/>
    </row>
    <row r="132" spans="2:11" x14ac:dyDescent="0.25">
      <c r="B132" s="974" t="s">
        <v>691</v>
      </c>
      <c r="C132" s="94"/>
      <c r="D132" s="53" t="s">
        <v>692</v>
      </c>
      <c r="E132" s="5"/>
      <c r="F132" s="5"/>
      <c r="G132" s="5"/>
      <c r="H132" s="5"/>
      <c r="I132" s="5"/>
      <c r="J132" s="5"/>
      <c r="K132" s="5"/>
    </row>
    <row r="133" spans="2:11" ht="84" x14ac:dyDescent="0.25">
      <c r="B133" s="975"/>
      <c r="C133" s="94"/>
      <c r="D133" s="46" t="s">
        <v>1019</v>
      </c>
      <c r="E133" s="5"/>
      <c r="F133" s="5"/>
      <c r="G133" s="5"/>
      <c r="H133" s="5"/>
      <c r="I133" s="5"/>
      <c r="J133" s="5"/>
      <c r="K133" s="5"/>
    </row>
    <row r="134" spans="2:11" ht="36" x14ac:dyDescent="0.25">
      <c r="B134" s="975"/>
      <c r="C134" s="94"/>
      <c r="D134" s="46" t="s">
        <v>1020</v>
      </c>
      <c r="E134" s="5"/>
      <c r="F134" s="5"/>
      <c r="G134" s="5"/>
      <c r="H134" s="5"/>
      <c r="I134" s="5"/>
      <c r="J134" s="5"/>
      <c r="K134" s="5"/>
    </row>
    <row r="135" spans="2:11" x14ac:dyDescent="0.25">
      <c r="B135" s="975"/>
      <c r="C135" s="94"/>
      <c r="D135" s="53" t="s">
        <v>695</v>
      </c>
      <c r="E135" s="5"/>
      <c r="F135" s="5"/>
      <c r="G135" s="5"/>
      <c r="H135" s="5"/>
      <c r="I135" s="5"/>
      <c r="J135" s="5"/>
      <c r="K135" s="5"/>
    </row>
    <row r="136" spans="2:11" x14ac:dyDescent="0.25">
      <c r="B136" s="975"/>
      <c r="C136" s="94"/>
      <c r="D136" s="46" t="s">
        <v>697</v>
      </c>
      <c r="E136" s="5"/>
      <c r="F136" s="5"/>
      <c r="G136" s="5"/>
      <c r="H136" s="5"/>
      <c r="I136" s="5"/>
      <c r="J136" s="5"/>
      <c r="K136" s="5"/>
    </row>
    <row r="137" spans="2:11" x14ac:dyDescent="0.25">
      <c r="B137" s="975"/>
      <c r="C137" s="94"/>
      <c r="D137" s="46" t="s">
        <v>1021</v>
      </c>
      <c r="E137" s="5"/>
      <c r="F137" s="5"/>
      <c r="G137" s="5"/>
      <c r="H137" s="5"/>
      <c r="I137" s="5"/>
      <c r="J137" s="5"/>
      <c r="K137" s="5"/>
    </row>
    <row r="138" spans="2:11" x14ac:dyDescent="0.25">
      <c r="B138" s="975"/>
      <c r="C138" s="94"/>
      <c r="D138" s="53" t="s">
        <v>923</v>
      </c>
      <c r="E138" s="5"/>
      <c r="F138" s="5"/>
      <c r="G138" s="5"/>
      <c r="H138" s="5"/>
      <c r="I138" s="5"/>
      <c r="J138" s="5"/>
      <c r="K138" s="5"/>
    </row>
    <row r="139" spans="2:11" ht="36" x14ac:dyDescent="0.25">
      <c r="B139" s="975"/>
      <c r="C139" s="94"/>
      <c r="D139" s="46" t="s">
        <v>1022</v>
      </c>
      <c r="E139" s="5"/>
      <c r="F139" s="5"/>
      <c r="G139" s="5"/>
      <c r="H139" s="5"/>
      <c r="I139" s="5"/>
      <c r="J139" s="5"/>
      <c r="K139" s="5"/>
    </row>
    <row r="140" spans="2:11" ht="36" x14ac:dyDescent="0.25">
      <c r="B140" s="975"/>
      <c r="C140" s="94"/>
      <c r="D140" s="46" t="s">
        <v>1023</v>
      </c>
      <c r="E140" s="5"/>
      <c r="F140" s="5"/>
      <c r="G140" s="5"/>
      <c r="H140" s="5"/>
      <c r="I140" s="5"/>
      <c r="J140" s="5"/>
      <c r="K140" s="5"/>
    </row>
    <row r="141" spans="2:11" ht="15.75" thickBot="1" x14ac:dyDescent="0.3">
      <c r="B141" s="976"/>
      <c r="C141" s="2"/>
      <c r="D141" s="40" t="s">
        <v>1024</v>
      </c>
      <c r="E141" s="5"/>
      <c r="F141" s="5"/>
      <c r="G141" s="5"/>
      <c r="H141" s="5"/>
      <c r="I141" s="5"/>
      <c r="J141" s="5"/>
      <c r="K141" s="5"/>
    </row>
    <row r="142" spans="2:11" ht="24.75" thickBot="1" x14ac:dyDescent="0.3">
      <c r="B142" s="47" t="s">
        <v>704</v>
      </c>
      <c r="C142" s="2"/>
      <c r="D142" s="40"/>
      <c r="E142" s="5"/>
      <c r="F142" s="5"/>
      <c r="G142" s="5"/>
      <c r="H142" s="5"/>
      <c r="I142" s="5"/>
      <c r="J142" s="5"/>
      <c r="K142" s="5"/>
    </row>
    <row r="143" spans="2:11" ht="15.75" thickBot="1" x14ac:dyDescent="0.3">
      <c r="B143" s="37"/>
      <c r="C143" s="88"/>
      <c r="D143" s="5"/>
      <c r="E143" s="5"/>
      <c r="F143" s="5"/>
      <c r="G143" s="5"/>
      <c r="H143" s="5"/>
      <c r="I143" s="5"/>
      <c r="J143" s="5"/>
      <c r="K143" s="5"/>
    </row>
    <row r="144" spans="2:11" ht="108" x14ac:dyDescent="0.25">
      <c r="B144" s="974" t="s">
        <v>705</v>
      </c>
      <c r="C144" s="105"/>
      <c r="D144" s="63" t="s">
        <v>1025</v>
      </c>
      <c r="E144" s="5"/>
      <c r="F144" s="5"/>
      <c r="G144" s="5"/>
      <c r="H144" s="5"/>
      <c r="I144" s="5"/>
      <c r="J144" s="5"/>
      <c r="K144" s="5"/>
    </row>
    <row r="145" spans="2:11" ht="144" x14ac:dyDescent="0.25">
      <c r="B145" s="975"/>
      <c r="C145" s="94"/>
      <c r="D145" s="46" t="s">
        <v>1026</v>
      </c>
      <c r="E145" s="5"/>
      <c r="F145" s="5"/>
      <c r="G145" s="5"/>
      <c r="H145" s="5"/>
      <c r="I145" s="5"/>
      <c r="J145" s="5"/>
      <c r="K145" s="5"/>
    </row>
    <row r="146" spans="2:11" ht="192" x14ac:dyDescent="0.25">
      <c r="B146" s="975"/>
      <c r="C146" s="94"/>
      <c r="D146" s="46" t="s">
        <v>1027</v>
      </c>
      <c r="E146" s="5"/>
      <c r="F146" s="5"/>
      <c r="G146" s="5"/>
      <c r="H146" s="5"/>
      <c r="I146" s="5"/>
      <c r="J146" s="5"/>
      <c r="K146" s="5"/>
    </row>
    <row r="147" spans="2:11" ht="72" x14ac:dyDescent="0.25">
      <c r="B147" s="975"/>
      <c r="C147" s="94"/>
      <c r="D147" s="46" t="s">
        <v>1028</v>
      </c>
      <c r="E147" s="5"/>
      <c r="F147" s="5"/>
      <c r="G147" s="5"/>
      <c r="H147" s="5"/>
      <c r="I147" s="5"/>
      <c r="J147" s="5"/>
      <c r="K147" s="5"/>
    </row>
    <row r="148" spans="2:11" ht="120.75" thickBot="1" x14ac:dyDescent="0.3">
      <c r="B148" s="976"/>
      <c r="C148" s="2"/>
      <c r="D148" s="40" t="s">
        <v>1029</v>
      </c>
      <c r="E148" s="5"/>
      <c r="F148" s="5"/>
      <c r="G148" s="5"/>
      <c r="H148" s="5"/>
      <c r="I148" s="5"/>
      <c r="J148" s="5"/>
      <c r="K148" s="5"/>
    </row>
    <row r="149" spans="2:11" x14ac:dyDescent="0.25">
      <c r="B149" s="974" t="s">
        <v>722</v>
      </c>
      <c r="C149" s="94"/>
      <c r="D149" s="53"/>
      <c r="E149" s="5"/>
      <c r="F149" s="5"/>
      <c r="G149" s="5"/>
      <c r="H149" s="5"/>
      <c r="I149" s="5"/>
      <c r="J149" s="5"/>
      <c r="K149" s="5"/>
    </row>
    <row r="150" spans="2:11" ht="36" x14ac:dyDescent="0.25">
      <c r="B150" s="975"/>
      <c r="C150" s="94"/>
      <c r="D150" s="53" t="s">
        <v>17</v>
      </c>
      <c r="E150" s="5"/>
      <c r="F150" s="5"/>
      <c r="G150" s="5"/>
      <c r="H150" s="5"/>
      <c r="I150" s="5"/>
      <c r="J150" s="5"/>
      <c r="K150" s="5"/>
    </row>
    <row r="151" spans="2:11" x14ac:dyDescent="0.25">
      <c r="B151" s="975"/>
      <c r="C151" s="94"/>
      <c r="D151" s="16"/>
      <c r="E151" s="5"/>
      <c r="F151" s="5"/>
      <c r="G151" s="5"/>
      <c r="H151" s="5"/>
      <c r="I151" s="5"/>
      <c r="J151" s="5"/>
      <c r="K151" s="5"/>
    </row>
    <row r="152" spans="2:11" x14ac:dyDescent="0.25">
      <c r="B152" s="975"/>
      <c r="C152" s="94"/>
      <c r="D152" s="46" t="s">
        <v>723</v>
      </c>
      <c r="E152" s="5"/>
      <c r="F152" s="5"/>
      <c r="G152" s="5"/>
      <c r="H152" s="5"/>
      <c r="I152" s="5"/>
      <c r="J152" s="5"/>
      <c r="K152" s="5"/>
    </row>
    <row r="153" spans="2:11" ht="49.5" x14ac:dyDescent="0.25">
      <c r="B153" s="975"/>
      <c r="C153" s="94"/>
      <c r="D153" s="46" t="s">
        <v>1030</v>
      </c>
      <c r="E153" s="5"/>
      <c r="F153" s="5"/>
      <c r="G153" s="5"/>
      <c r="H153" s="5"/>
      <c r="I153" s="5"/>
      <c r="J153" s="5"/>
      <c r="K153" s="5"/>
    </row>
    <row r="154" spans="2:11" ht="49.5" x14ac:dyDescent="0.25">
      <c r="B154" s="975"/>
      <c r="C154" s="94"/>
      <c r="D154" s="46" t="s">
        <v>1031</v>
      </c>
      <c r="E154" s="5"/>
      <c r="F154" s="5"/>
      <c r="G154" s="5"/>
      <c r="H154" s="5"/>
      <c r="I154" s="5"/>
      <c r="J154" s="5"/>
      <c r="K154" s="5"/>
    </row>
    <row r="155" spans="2:11" ht="50.25" thickBot="1" x14ac:dyDescent="0.3">
      <c r="B155" s="976"/>
      <c r="C155" s="2"/>
      <c r="D155" s="40" t="s">
        <v>1032</v>
      </c>
      <c r="E155" s="5"/>
      <c r="F155" s="5"/>
      <c r="G155" s="5"/>
      <c r="H155" s="5"/>
      <c r="I155" s="5"/>
      <c r="J155" s="5"/>
      <c r="K155" s="5"/>
    </row>
  </sheetData>
  <sheetProtection insertRows="0"/>
  <mergeCells count="54">
    <mergeCell ref="A1:P1"/>
    <mergeCell ref="A2:P2"/>
    <mergeCell ref="A3:P3"/>
    <mergeCell ref="A4:D4"/>
    <mergeCell ref="A5:P5"/>
    <mergeCell ref="B104:B110"/>
    <mergeCell ref="B112:E112"/>
    <mergeCell ref="D59:J59"/>
    <mergeCell ref="D60:J60"/>
    <mergeCell ref="D61:J61"/>
    <mergeCell ref="D70:J70"/>
    <mergeCell ref="D71:J71"/>
    <mergeCell ref="D72:J72"/>
    <mergeCell ref="I73:I74"/>
    <mergeCell ref="D73:D74"/>
    <mergeCell ref="B103:E103"/>
    <mergeCell ref="E73:E74"/>
    <mergeCell ref="B16:B97"/>
    <mergeCell ref="D27:J27"/>
    <mergeCell ref="D101:J101"/>
    <mergeCell ref="F73:F74"/>
    <mergeCell ref="B149:B155"/>
    <mergeCell ref="C17:C18"/>
    <mergeCell ref="D17:D18"/>
    <mergeCell ref="B113:B119"/>
    <mergeCell ref="D89:J89"/>
    <mergeCell ref="D90:J90"/>
    <mergeCell ref="D98:J98"/>
    <mergeCell ref="B99:B101"/>
    <mergeCell ref="D99:J99"/>
    <mergeCell ref="D100:J100"/>
    <mergeCell ref="D37:J37"/>
    <mergeCell ref="D50:J50"/>
    <mergeCell ref="D38:J38"/>
    <mergeCell ref="D47:J47"/>
    <mergeCell ref="F17:F18"/>
    <mergeCell ref="D25:I25"/>
    <mergeCell ref="G73:G74"/>
    <mergeCell ref="H73:H74"/>
    <mergeCell ref="D48:J48"/>
    <mergeCell ref="D49:J49"/>
    <mergeCell ref="B11:D11"/>
    <mergeCell ref="F11:S11"/>
    <mergeCell ref="F12:S12"/>
    <mergeCell ref="E13:R13"/>
    <mergeCell ref="E14:R14"/>
    <mergeCell ref="D36:J36"/>
    <mergeCell ref="E17:E18"/>
    <mergeCell ref="G17:G18"/>
    <mergeCell ref="B126:J127"/>
    <mergeCell ref="B128:J128"/>
    <mergeCell ref="B130:D130"/>
    <mergeCell ref="B132:B141"/>
    <mergeCell ref="B144:B148"/>
  </mergeCells>
  <conditionalFormatting sqref="E13:R13">
    <cfRule type="expression" dxfId="90" priority="1">
      <formula>E12="SI SE REPORTA"</formula>
    </cfRule>
  </conditionalFormatting>
  <conditionalFormatting sqref="F11">
    <cfRule type="notContainsBlanks" dxfId="89" priority="4">
      <formula>LEN(TRIM(F11))&gt;0</formula>
    </cfRule>
  </conditionalFormatting>
  <conditionalFormatting sqref="F12:S12">
    <cfRule type="expression" dxfId="88" priority="2">
      <formula>E12="NO SE REPORTA"</formula>
    </cfRule>
    <cfRule type="expression" dxfId="87" priority="3">
      <formula>E11="NO APLICA"</formula>
    </cfRule>
  </conditionalFormatting>
  <dataValidations count="6">
    <dataValidation type="list" allowBlank="1" showInputMessage="1" showErrorMessage="1" sqref="E11" xr:uid="{00000000-0002-0000-1100-000005000000}">
      <formula1>SI</formula1>
    </dataValidation>
    <dataValidation type="list" allowBlank="1" showInputMessage="1" showErrorMessage="1" sqref="E12" xr:uid="{00000000-0002-0000-1100-000004000000}">
      <formula1>REPORTE</formula1>
    </dataValidation>
    <dataValidation allowBlank="1" showInputMessage="1" showErrorMessage="1" sqref="I40 E46:H46 I52 E69:H69 I63 E58:H58 E24:F24 I29" xr:uid="{00000000-0002-0000-1100-000003000000}"/>
    <dataValidation allowBlank="1" showInputMessage="1" showErrorMessage="1" promptTitle="ESTADO" prompt="en preparación_x000a_en aprestamiento_x000a_en declaración_x000a_Declarado" sqref="I75:I88" xr:uid="{00000000-0002-0000-1100-000002000000}"/>
    <dataValidation type="whole" operator="greaterThanOrEqual" allowBlank="1" showInputMessage="1" showErrorMessage="1" errorTitle="ERROR" error="Valor en HECTAREAS (sin decimales)_x000a_" sqref="E63:H68 E40:H45 G75:H88 F20:F22 E21:E22" xr:uid="{00000000-0002-0000-1100-000001000000}">
      <formula1>0</formula1>
    </dataValidation>
    <dataValidation type="whole" operator="greaterThanOrEqual" allowBlank="1" showErrorMessage="1" errorTitle="ERROR" error="Escriba un número igual o mayor que 0" promptTitle="ERROR" prompt="Escriba un número igual o mayor que 0" sqref="E29:H34 E23:F23 E52:H57 E19:F19" xr:uid="{00000000-0002-0000-1100-000000000000}">
      <formula1>0</formula1>
    </dataValidation>
  </dataValidations>
  <hyperlinks>
    <hyperlink ref="B10" location="'ANEXO 3'!A1" display="VOLVER AL INDICE" xr:uid="{FCA1F31C-8FF1-4124-8795-A5D20AD75A7E}"/>
    <hyperlink ref="E108" r:id="rId1" xr:uid="{2B42100A-C531-434B-BE86-8C93411F6167}"/>
  </hyperlinks>
  <pageMargins left="0.25" right="0.25" top="0.75" bottom="0.75" header="0.3" footer="0.3"/>
  <pageSetup paperSize="178" orientation="landscape" horizontalDpi="1200" verticalDpi="120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DF9A3-A6C4-44D8-8EC8-367CE335084D}">
  <dimension ref="A1:U89"/>
  <sheetViews>
    <sheetView showGridLines="0" topLeftCell="A26" zoomScale="98" zoomScaleNormal="98" workbookViewId="0">
      <selection activeCell="I18" sqref="I18"/>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19</v>
      </c>
      <c r="B5" s="998"/>
      <c r="C5" s="998"/>
      <c r="D5" s="998"/>
      <c r="E5" s="998"/>
      <c r="F5" s="998"/>
      <c r="G5" s="998"/>
      <c r="H5" s="998"/>
      <c r="I5" s="998"/>
      <c r="J5" s="998"/>
      <c r="K5" s="998"/>
      <c r="L5" s="998"/>
      <c r="M5" s="998"/>
      <c r="N5" s="998"/>
      <c r="O5" s="998"/>
      <c r="P5" s="999"/>
    </row>
    <row r="6" spans="1:21" x14ac:dyDescent="0.25">
      <c r="B6" s="1" t="s">
        <v>626</v>
      </c>
      <c r="C6" s="76"/>
      <c r="D6" s="5"/>
      <c r="E6" s="74"/>
      <c r="F6" s="5" t="s">
        <v>627</v>
      </c>
      <c r="G6" s="5"/>
      <c r="H6" s="5"/>
      <c r="I6" s="5"/>
      <c r="J6" s="5"/>
      <c r="K6" s="5"/>
    </row>
    <row r="7" spans="1:21" ht="15.75" thickBot="1" x14ac:dyDescent="0.3">
      <c r="B7" s="75"/>
      <c r="C7" s="77"/>
      <c r="D7" s="5"/>
      <c r="E7" s="17"/>
      <c r="F7" s="5" t="s">
        <v>628</v>
      </c>
      <c r="G7" s="5"/>
      <c r="H7" s="5"/>
      <c r="I7" s="5"/>
      <c r="J7" s="5"/>
      <c r="K7" s="5"/>
    </row>
    <row r="8" spans="1:21" ht="15.75" thickBot="1" x14ac:dyDescent="0.3">
      <c r="B8" s="171" t="s">
        <v>629</v>
      </c>
      <c r="C8" s="211">
        <v>2024</v>
      </c>
      <c r="D8" s="216">
        <f>IF(E10="NO APLICA","NO APLICA",IF(E11="NO SE REPORTA","SIN INFORMACION",+H20))</f>
        <v>0</v>
      </c>
      <c r="E8" s="212"/>
      <c r="F8" s="5" t="s">
        <v>630</v>
      </c>
      <c r="G8" s="5"/>
      <c r="H8" s="5"/>
      <c r="I8" s="5"/>
      <c r="J8" s="5"/>
      <c r="K8" s="5"/>
    </row>
    <row r="9" spans="1:21" x14ac:dyDescent="0.25">
      <c r="B9" s="358" t="s">
        <v>631</v>
      </c>
      <c r="D9" s="5"/>
      <c r="E9" s="5"/>
      <c r="F9" s="5"/>
      <c r="G9" s="5"/>
      <c r="H9" s="5"/>
      <c r="I9" s="5"/>
      <c r="J9" s="5"/>
      <c r="K9" s="5"/>
    </row>
    <row r="10" spans="1:21" x14ac:dyDescent="0.25">
      <c r="B10" s="1008" t="s">
        <v>632</v>
      </c>
      <c r="C10" s="1008"/>
      <c r="D10" s="1008"/>
      <c r="E10" s="361" t="s">
        <v>633</v>
      </c>
      <c r="F10" s="99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96"/>
      <c r="H10" s="996"/>
      <c r="I10" s="996"/>
      <c r="J10" s="996"/>
      <c r="K10" s="996"/>
      <c r="L10" s="996"/>
      <c r="M10" s="996"/>
      <c r="N10" s="996"/>
      <c r="O10" s="996"/>
      <c r="P10" s="996"/>
      <c r="Q10" s="996"/>
      <c r="R10" s="996"/>
      <c r="S10" s="996"/>
      <c r="T10" s="5"/>
      <c r="U10" s="5"/>
    </row>
    <row r="11" spans="1:21" ht="14.45" customHeight="1" x14ac:dyDescent="0.25">
      <c r="B11" s="360"/>
      <c r="C11" s="88"/>
      <c r="D11" s="171" t="str">
        <f>IF(E10="SI APLICA","¿El indicador no se reporta por limitaciones de información disponible? ","")</f>
        <v xml:space="preserve">¿El indicador no se reporta por limitaciones de información disponible? </v>
      </c>
      <c r="E11" s="362" t="s">
        <v>634</v>
      </c>
      <c r="F11" s="1009"/>
      <c r="G11" s="1010"/>
      <c r="H11" s="1010"/>
      <c r="I11" s="1010"/>
      <c r="J11" s="1010"/>
      <c r="K11" s="1010"/>
      <c r="L11" s="1010"/>
      <c r="M11" s="1010"/>
      <c r="N11" s="1010"/>
      <c r="O11" s="1010"/>
      <c r="P11" s="1010"/>
      <c r="Q11" s="1010"/>
      <c r="R11" s="1010"/>
      <c r="S11" s="1010"/>
    </row>
    <row r="12" spans="1:21" ht="23.45" customHeight="1" x14ac:dyDescent="0.25">
      <c r="B12" s="358"/>
      <c r="C12" s="88"/>
      <c r="D12" s="171" t="str">
        <f>IF(E11="SI SE REPORTA","¿Qué programas o proyectos del Plan de Acción están asociados al indicador? ","")</f>
        <v xml:space="preserve">¿Qué programas o proyectos del Plan de Acción están asociados al indicador? </v>
      </c>
      <c r="E12" s="1012" t="s">
        <v>2315</v>
      </c>
      <c r="F12" s="1013"/>
      <c r="G12" s="1013"/>
      <c r="H12" s="1013"/>
      <c r="I12" s="1013"/>
      <c r="J12" s="1013"/>
      <c r="K12" s="1013"/>
      <c r="L12" s="1013"/>
      <c r="M12" s="1013"/>
      <c r="N12" s="1013"/>
      <c r="O12" s="1013"/>
      <c r="P12" s="1013"/>
      <c r="Q12" s="1013"/>
      <c r="R12" s="1014"/>
    </row>
    <row r="13" spans="1:21" ht="21.95" customHeight="1" x14ac:dyDescent="0.25">
      <c r="B13" s="358"/>
      <c r="C13" s="88"/>
      <c r="D13" s="171" t="s">
        <v>635</v>
      </c>
      <c r="E13" s="1012" t="s">
        <v>2316</v>
      </c>
      <c r="F13" s="1013"/>
      <c r="G13" s="1013"/>
      <c r="H13" s="1013"/>
      <c r="I13" s="1013"/>
      <c r="J13" s="1013"/>
      <c r="K13" s="1013"/>
      <c r="L13" s="1013"/>
      <c r="M13" s="1013"/>
      <c r="N13" s="1013"/>
      <c r="O13" s="1013"/>
      <c r="P13" s="1013"/>
      <c r="Q13" s="1013"/>
      <c r="R13" s="1014"/>
    </row>
    <row r="14" spans="1:21" ht="6.95" customHeight="1" thickBot="1" x14ac:dyDescent="0.3">
      <c r="B14" s="358"/>
      <c r="D14" s="5"/>
      <c r="E14" s="5"/>
      <c r="F14" s="5"/>
      <c r="G14" s="5"/>
      <c r="H14" s="5"/>
      <c r="I14" s="5"/>
      <c r="J14" s="5"/>
      <c r="K14" s="5"/>
    </row>
    <row r="15" spans="1:21" ht="15.75" thickTop="1" x14ac:dyDescent="0.25">
      <c r="B15" s="1064" t="s">
        <v>636</v>
      </c>
      <c r="C15" s="89"/>
      <c r="D15" s="956" t="s">
        <v>940</v>
      </c>
      <c r="E15" s="957"/>
      <c r="F15" s="957"/>
      <c r="G15" s="957"/>
      <c r="H15" s="957"/>
      <c r="I15" s="957"/>
      <c r="J15" s="958"/>
      <c r="K15" s="5"/>
    </row>
    <row r="16" spans="1:21" ht="15.75" thickBot="1" x14ac:dyDescent="0.3">
      <c r="B16" s="975"/>
      <c r="C16" s="92"/>
      <c r="D16" s="953" t="s">
        <v>1034</v>
      </c>
      <c r="E16" s="954"/>
      <c r="F16" s="954"/>
      <c r="G16" s="954"/>
      <c r="H16" s="954"/>
      <c r="I16" s="954"/>
      <c r="J16" s="955"/>
      <c r="K16" s="5"/>
    </row>
    <row r="17" spans="2:11" ht="24.75" thickBot="1" x14ac:dyDescent="0.3">
      <c r="B17" s="975"/>
      <c r="C17" s="94"/>
      <c r="D17" s="38" t="s">
        <v>1035</v>
      </c>
      <c r="E17" s="43" t="s">
        <v>1036</v>
      </c>
      <c r="F17" s="38" t="s">
        <v>587</v>
      </c>
      <c r="G17" s="38" t="s">
        <v>588</v>
      </c>
      <c r="H17" s="38" t="s">
        <v>589</v>
      </c>
      <c r="I17" s="38" t="s">
        <v>590</v>
      </c>
      <c r="J17" s="38" t="s">
        <v>764</v>
      </c>
      <c r="K17" s="5"/>
    </row>
    <row r="18" spans="2:11" ht="36.75" thickBot="1" x14ac:dyDescent="0.3">
      <c r="B18" s="975"/>
      <c r="C18" s="94"/>
      <c r="D18" s="40" t="s">
        <v>1037</v>
      </c>
      <c r="E18" s="770">
        <v>2</v>
      </c>
      <c r="F18" s="206">
        <v>0</v>
      </c>
      <c r="G18" s="206">
        <v>500</v>
      </c>
      <c r="H18" s="206">
        <v>500</v>
      </c>
      <c r="I18" s="206">
        <v>500</v>
      </c>
      <c r="J18" s="42">
        <f>SUM(F18:I18)</f>
        <v>1500</v>
      </c>
      <c r="K18" s="18"/>
    </row>
    <row r="19" spans="2:11" ht="36.75" thickBot="1" x14ac:dyDescent="0.3">
      <c r="B19" s="975"/>
      <c r="C19" s="94"/>
      <c r="D19" s="40" t="s">
        <v>1038</v>
      </c>
      <c r="E19" s="206">
        <v>1</v>
      </c>
      <c r="F19" s="206"/>
      <c r="G19" s="206"/>
      <c r="H19" s="206"/>
      <c r="I19" s="206"/>
      <c r="J19" s="42">
        <f>SUM(F19:I19)</f>
        <v>0</v>
      </c>
      <c r="K19" s="18"/>
    </row>
    <row r="20" spans="2:11" ht="36.75" thickBot="1" x14ac:dyDescent="0.3">
      <c r="B20" s="975"/>
      <c r="C20" s="2"/>
      <c r="D20" s="40" t="s">
        <v>19</v>
      </c>
      <c r="E20" s="185">
        <f t="shared" ref="E20:J20" si="0">IFERROR(E19/E18,"N.A.")</f>
        <v>0.5</v>
      </c>
      <c r="F20" s="185" t="str">
        <f t="shared" si="0"/>
        <v>N.A.</v>
      </c>
      <c r="G20" s="185">
        <f t="shared" si="0"/>
        <v>0</v>
      </c>
      <c r="H20" s="185">
        <f t="shared" si="0"/>
        <v>0</v>
      </c>
      <c r="I20" s="185">
        <f t="shared" si="0"/>
        <v>0</v>
      </c>
      <c r="J20" s="185">
        <f t="shared" si="0"/>
        <v>0</v>
      </c>
      <c r="K20" s="18"/>
    </row>
    <row r="21" spans="2:11" ht="11.1" customHeight="1" thickBot="1" x14ac:dyDescent="0.3">
      <c r="B21" s="218"/>
      <c r="C21" s="89"/>
      <c r="D21" s="953" t="s">
        <v>1039</v>
      </c>
      <c r="E21" s="954"/>
      <c r="F21" s="954"/>
      <c r="G21" s="954"/>
      <c r="H21" s="954"/>
      <c r="I21" s="954"/>
      <c r="J21" s="955"/>
      <c r="K21" s="5"/>
    </row>
    <row r="22" spans="2:11" ht="36.75" thickBot="1" x14ac:dyDescent="0.3">
      <c r="B22" s="218"/>
      <c r="C22" s="92"/>
      <c r="D22" s="52" t="s">
        <v>1040</v>
      </c>
      <c r="E22" s="230" t="s">
        <v>1041</v>
      </c>
      <c r="F22" s="63" t="s">
        <v>1006</v>
      </c>
      <c r="G22" s="291"/>
      <c r="H22" s="292"/>
      <c r="I22" s="292"/>
      <c r="J22" s="293"/>
      <c r="K22" s="5"/>
    </row>
    <row r="23" spans="2:11" s="188" customFormat="1" ht="15.75" thickBot="1" x14ac:dyDescent="0.3">
      <c r="B23" s="217"/>
      <c r="C23" s="82"/>
      <c r="D23" s="285"/>
      <c r="E23" s="474"/>
      <c r="F23" s="251"/>
      <c r="G23" s="286"/>
      <c r="J23" s="287"/>
      <c r="K23" s="18"/>
    </row>
    <row r="24" spans="2:11" s="188" customFormat="1" ht="15.75" thickBot="1" x14ac:dyDescent="0.3">
      <c r="B24" s="217"/>
      <c r="C24" s="82"/>
      <c r="D24" s="285"/>
      <c r="E24" s="251"/>
      <c r="F24" s="251"/>
      <c r="G24" s="286"/>
      <c r="J24" s="287"/>
      <c r="K24" s="18"/>
    </row>
    <row r="25" spans="2:11" s="188" customFormat="1" ht="15.75" thickBot="1" x14ac:dyDescent="0.3">
      <c r="B25" s="217"/>
      <c r="C25" s="82"/>
      <c r="D25" s="285"/>
      <c r="E25" s="251"/>
      <c r="F25" s="251"/>
      <c r="G25" s="286"/>
      <c r="J25" s="287"/>
      <c r="K25" s="18"/>
    </row>
    <row r="26" spans="2:11" s="188" customFormat="1" ht="15.75" thickBot="1" x14ac:dyDescent="0.3">
      <c r="B26" s="217"/>
      <c r="C26" s="82"/>
      <c r="D26" s="285"/>
      <c r="E26" s="251"/>
      <c r="F26" s="251"/>
      <c r="G26" s="286"/>
      <c r="J26" s="287"/>
      <c r="K26" s="18"/>
    </row>
    <row r="27" spans="2:11" s="188" customFormat="1" ht="15.75" thickBot="1" x14ac:dyDescent="0.3">
      <c r="B27" s="217"/>
      <c r="C27" s="82"/>
      <c r="D27" s="285"/>
      <c r="E27" s="251"/>
      <c r="F27" s="251"/>
      <c r="G27" s="286"/>
      <c r="J27" s="287"/>
      <c r="K27" s="18"/>
    </row>
    <row r="28" spans="2:11" s="188" customFormat="1" ht="15.75" thickBot="1" x14ac:dyDescent="0.3">
      <c r="B28" s="217"/>
      <c r="C28" s="82"/>
      <c r="D28" s="285"/>
      <c r="E28" s="251"/>
      <c r="F28" s="251"/>
      <c r="G28" s="286"/>
      <c r="J28" s="287"/>
      <c r="K28" s="18"/>
    </row>
    <row r="29" spans="2:11" s="188" customFormat="1" ht="15.75" thickBot="1" x14ac:dyDescent="0.3">
      <c r="B29" s="217"/>
      <c r="C29" s="82"/>
      <c r="D29" s="285"/>
      <c r="E29" s="251"/>
      <c r="F29" s="251"/>
      <c r="G29" s="286"/>
      <c r="J29" s="287"/>
      <c r="K29" s="18"/>
    </row>
    <row r="30" spans="2:11" s="188" customFormat="1" ht="15.75" thickBot="1" x14ac:dyDescent="0.3">
      <c r="B30" s="217"/>
      <c r="C30" s="82"/>
      <c r="D30" s="285"/>
      <c r="E30" s="251"/>
      <c r="F30" s="251"/>
      <c r="G30" s="286"/>
      <c r="J30" s="287"/>
      <c r="K30" s="18"/>
    </row>
    <row r="31" spans="2:11" s="188" customFormat="1" ht="15.75" thickBot="1" x14ac:dyDescent="0.3">
      <c r="B31" s="217"/>
      <c r="C31" s="82"/>
      <c r="D31" s="285"/>
      <c r="E31" s="251"/>
      <c r="F31" s="251"/>
      <c r="G31" s="286"/>
      <c r="J31" s="287"/>
      <c r="K31" s="18"/>
    </row>
    <row r="32" spans="2:11" s="188" customFormat="1" ht="15.75" thickBot="1" x14ac:dyDescent="0.3">
      <c r="B32" s="217"/>
      <c r="C32" s="82"/>
      <c r="D32" s="285"/>
      <c r="E32" s="251"/>
      <c r="F32" s="251"/>
      <c r="G32" s="286"/>
      <c r="J32" s="287"/>
      <c r="K32" s="18"/>
    </row>
    <row r="33" spans="2:11" s="188" customFormat="1" ht="15.75" thickBot="1" x14ac:dyDescent="0.3">
      <c r="B33" s="217"/>
      <c r="C33" s="82"/>
      <c r="D33" s="30"/>
      <c r="E33" s="30"/>
      <c r="F33" s="30"/>
      <c r="G33" s="286"/>
      <c r="J33" s="287"/>
    </row>
    <row r="34" spans="2:11" s="188" customFormat="1" ht="15.75" thickBot="1" x14ac:dyDescent="0.3">
      <c r="B34" s="217"/>
      <c r="C34" s="82"/>
      <c r="D34" s="30"/>
      <c r="E34" s="30"/>
      <c r="F34" s="30"/>
      <c r="G34" s="286"/>
      <c r="J34" s="287"/>
    </row>
    <row r="35" spans="2:11" s="188" customFormat="1" ht="15.75" thickBot="1" x14ac:dyDescent="0.3">
      <c r="B35" s="179"/>
      <c r="C35" s="8"/>
      <c r="D35" s="30"/>
      <c r="E35" s="30"/>
      <c r="F35" s="30"/>
      <c r="G35" s="288"/>
      <c r="H35" s="289"/>
      <c r="I35" s="289"/>
      <c r="J35" s="290"/>
    </row>
    <row r="36" spans="2:11" ht="15.75" thickBot="1" x14ac:dyDescent="0.3">
      <c r="B36" s="47" t="s">
        <v>671</v>
      </c>
      <c r="C36" s="93"/>
      <c r="D36" s="983" t="s">
        <v>1042</v>
      </c>
      <c r="E36" s="984"/>
      <c r="F36" s="984"/>
      <c r="G36" s="984"/>
      <c r="H36" s="984"/>
      <c r="I36" s="984"/>
      <c r="J36" s="985"/>
    </row>
    <row r="37" spans="2:11" ht="24.75" thickBot="1" x14ac:dyDescent="0.3">
      <c r="B37" s="47" t="s">
        <v>673</v>
      </c>
      <c r="C37" s="93"/>
      <c r="D37" s="983" t="s">
        <v>953</v>
      </c>
      <c r="E37" s="984"/>
      <c r="F37" s="984"/>
      <c r="G37" s="984"/>
      <c r="H37" s="984"/>
      <c r="I37" s="984"/>
      <c r="J37" s="985"/>
    </row>
    <row r="38" spans="2:11" ht="15.75" thickBot="1" x14ac:dyDescent="0.3">
      <c r="B38" s="130"/>
      <c r="C38" s="101"/>
      <c r="D38" s="130"/>
      <c r="E38" s="130"/>
      <c r="F38" s="130"/>
      <c r="G38" s="130"/>
      <c r="H38" s="130"/>
      <c r="I38" s="130"/>
      <c r="J38" s="130"/>
      <c r="K38" s="5"/>
    </row>
    <row r="39" spans="2:11" ht="24" customHeight="1" thickBot="1" x14ac:dyDescent="0.3">
      <c r="B39" s="971" t="s">
        <v>675</v>
      </c>
      <c r="C39" s="972"/>
      <c r="D39" s="972"/>
      <c r="E39" s="973"/>
      <c r="F39" s="5"/>
      <c r="G39" s="5"/>
      <c r="H39" s="5"/>
      <c r="I39" s="5"/>
      <c r="J39" s="5"/>
      <c r="K39" s="5"/>
    </row>
    <row r="40" spans="2:11" ht="48.75" thickBot="1" x14ac:dyDescent="0.3">
      <c r="B40" s="974">
        <v>1</v>
      </c>
      <c r="C40" s="94"/>
      <c r="D40" s="48" t="s">
        <v>676</v>
      </c>
      <c r="E40" s="337" t="s">
        <v>2301</v>
      </c>
      <c r="F40" s="5"/>
      <c r="G40" s="5"/>
      <c r="H40" s="5"/>
      <c r="I40" s="5"/>
      <c r="J40" s="5"/>
      <c r="K40" s="5"/>
    </row>
    <row r="41" spans="2:11" ht="48.75" thickBot="1" x14ac:dyDescent="0.3">
      <c r="B41" s="975"/>
      <c r="C41" s="94"/>
      <c r="D41" s="40" t="s">
        <v>525</v>
      </c>
      <c r="E41" s="337" t="s">
        <v>2311</v>
      </c>
      <c r="F41" s="5"/>
      <c r="G41" s="5"/>
      <c r="H41" s="5"/>
      <c r="I41" s="5"/>
      <c r="J41" s="5"/>
      <c r="K41" s="5"/>
    </row>
    <row r="42" spans="2:11" ht="36.75" thickBot="1" x14ac:dyDescent="0.3">
      <c r="B42" s="975"/>
      <c r="C42" s="94"/>
      <c r="D42" s="40" t="s">
        <v>677</v>
      </c>
      <c r="E42" s="337" t="s">
        <v>2303</v>
      </c>
      <c r="F42" s="5"/>
      <c r="G42" s="5"/>
      <c r="H42" s="5"/>
      <c r="I42" s="5"/>
      <c r="J42" s="5"/>
      <c r="K42" s="5"/>
    </row>
    <row r="43" spans="2:11" ht="15.75" thickBot="1" x14ac:dyDescent="0.3">
      <c r="B43" s="975"/>
      <c r="C43" s="94"/>
      <c r="D43" s="40" t="s">
        <v>527</v>
      </c>
      <c r="E43" s="337" t="s">
        <v>2304</v>
      </c>
      <c r="F43" s="5"/>
      <c r="G43" s="5"/>
      <c r="H43" s="5"/>
      <c r="I43" s="5"/>
      <c r="J43" s="5"/>
      <c r="K43" s="5"/>
    </row>
    <row r="44" spans="2:11" ht="60.75" thickBot="1" x14ac:dyDescent="0.3">
      <c r="B44" s="975"/>
      <c r="C44" s="94"/>
      <c r="D44" s="40" t="s">
        <v>529</v>
      </c>
      <c r="E44" s="766" t="s">
        <v>2309</v>
      </c>
      <c r="F44" s="5"/>
      <c r="G44" s="5"/>
      <c r="H44" s="5"/>
      <c r="I44" s="5"/>
      <c r="J44" s="5"/>
      <c r="K44" s="5"/>
    </row>
    <row r="45" spans="2:11" ht="15.75" thickBot="1" x14ac:dyDescent="0.3">
      <c r="B45" s="975"/>
      <c r="C45" s="94"/>
      <c r="D45" s="40" t="s">
        <v>531</v>
      </c>
      <c r="E45" s="337">
        <v>5748960</v>
      </c>
      <c r="F45" s="5"/>
      <c r="G45" s="5"/>
      <c r="H45" s="5"/>
      <c r="I45" s="5"/>
      <c r="J45" s="5"/>
      <c r="K45" s="5"/>
    </row>
    <row r="46" spans="2:11" ht="60.75" thickBot="1" x14ac:dyDescent="0.3">
      <c r="B46" s="976"/>
      <c r="C46" s="2"/>
      <c r="D46" s="40" t="s">
        <v>678</v>
      </c>
      <c r="E46" s="337" t="s">
        <v>2312</v>
      </c>
      <c r="F46" s="5"/>
      <c r="G46" s="5"/>
      <c r="H46" s="5"/>
      <c r="I46" s="5"/>
      <c r="J46" s="5"/>
      <c r="K46" s="5"/>
    </row>
    <row r="47" spans="2:11" ht="15.75" thickBot="1" x14ac:dyDescent="0.3">
      <c r="B47" s="1"/>
      <c r="C47" s="76"/>
      <c r="D47" s="5"/>
      <c r="E47" s="5"/>
      <c r="F47" s="5"/>
      <c r="G47" s="5"/>
      <c r="H47" s="5"/>
      <c r="I47" s="5"/>
      <c r="J47" s="5"/>
      <c r="K47" s="5"/>
    </row>
    <row r="48" spans="2:11" ht="15.75" thickBot="1" x14ac:dyDescent="0.3">
      <c r="B48" s="971" t="s">
        <v>679</v>
      </c>
      <c r="C48" s="972"/>
      <c r="D48" s="972"/>
      <c r="E48" s="973"/>
      <c r="F48" s="5"/>
      <c r="G48" s="5"/>
      <c r="H48" s="5"/>
      <c r="I48" s="5"/>
      <c r="J48" s="5"/>
      <c r="K48" s="5"/>
    </row>
    <row r="49" spans="2:11" ht="15.75" thickBot="1" x14ac:dyDescent="0.3">
      <c r="B49" s="974">
        <v>1</v>
      </c>
      <c r="C49" s="94"/>
      <c r="D49" s="48" t="s">
        <v>676</v>
      </c>
      <c r="E49" s="219" t="s">
        <v>680</v>
      </c>
      <c r="F49" s="5"/>
      <c r="G49" s="5"/>
      <c r="H49" s="5"/>
      <c r="I49" s="5"/>
      <c r="J49" s="5"/>
      <c r="K49" s="5"/>
    </row>
    <row r="50" spans="2:11" ht="15.75" thickBot="1" x14ac:dyDescent="0.3">
      <c r="B50" s="975"/>
      <c r="C50" s="94"/>
      <c r="D50" s="40" t="s">
        <v>525</v>
      </c>
      <c r="E50" s="219" t="s">
        <v>681</v>
      </c>
      <c r="F50" s="5"/>
      <c r="G50" s="5"/>
      <c r="H50" s="5"/>
      <c r="I50" s="5"/>
      <c r="J50" s="5"/>
      <c r="K50" s="5"/>
    </row>
    <row r="51" spans="2:11" ht="15.75" thickBot="1" x14ac:dyDescent="0.3">
      <c r="B51" s="975"/>
      <c r="C51" s="94"/>
      <c r="D51" s="40" t="s">
        <v>677</v>
      </c>
      <c r="E51" s="239"/>
      <c r="F51" s="5"/>
      <c r="G51" s="5"/>
      <c r="H51" s="5"/>
      <c r="I51" s="5"/>
      <c r="J51" s="5"/>
      <c r="K51" s="5"/>
    </row>
    <row r="52" spans="2:11" ht="15.75" thickBot="1" x14ac:dyDescent="0.3">
      <c r="B52" s="975"/>
      <c r="C52" s="94"/>
      <c r="D52" s="40" t="s">
        <v>527</v>
      </c>
      <c r="E52" s="239"/>
      <c r="F52" s="5"/>
      <c r="G52" s="5"/>
      <c r="H52" s="5"/>
      <c r="I52" s="5"/>
      <c r="J52" s="5"/>
      <c r="K52" s="5"/>
    </row>
    <row r="53" spans="2:11" ht="15.75" thickBot="1" x14ac:dyDescent="0.3">
      <c r="B53" s="975"/>
      <c r="C53" s="94"/>
      <c r="D53" s="40" t="s">
        <v>529</v>
      </c>
      <c r="E53" s="239"/>
      <c r="F53" s="5"/>
      <c r="G53" s="5"/>
      <c r="H53" s="5"/>
      <c r="I53" s="5"/>
      <c r="J53" s="5"/>
      <c r="K53" s="5"/>
    </row>
    <row r="54" spans="2:11" ht="15.75" thickBot="1" x14ac:dyDescent="0.3">
      <c r="B54" s="975"/>
      <c r="C54" s="94"/>
      <c r="D54" s="40" t="s">
        <v>531</v>
      </c>
      <c r="E54" s="239"/>
      <c r="F54" s="5"/>
      <c r="G54" s="5"/>
      <c r="H54" s="5"/>
      <c r="I54" s="5"/>
      <c r="J54" s="5"/>
      <c r="K54" s="5"/>
    </row>
    <row r="55" spans="2:11" ht="15.75" thickBot="1" x14ac:dyDescent="0.3">
      <c r="B55" s="976"/>
      <c r="C55" s="2"/>
      <c r="D55" s="40" t="s">
        <v>678</v>
      </c>
      <c r="E55" s="239"/>
      <c r="F55" s="5"/>
      <c r="G55" s="5"/>
      <c r="H55" s="5"/>
      <c r="I55" s="5"/>
      <c r="J55" s="5"/>
      <c r="K55" s="5"/>
    </row>
    <row r="56" spans="2:11" ht="15.75" thickBot="1" x14ac:dyDescent="0.3">
      <c r="B56" s="1"/>
      <c r="C56" s="76"/>
      <c r="D56" s="5"/>
      <c r="E56" s="5"/>
      <c r="F56" s="5"/>
      <c r="G56" s="5"/>
      <c r="H56" s="5"/>
      <c r="I56" s="5"/>
      <c r="J56" s="5"/>
      <c r="K56" s="5"/>
    </row>
    <row r="57" spans="2:11" ht="15" customHeight="1" thickBot="1" x14ac:dyDescent="0.3">
      <c r="B57" s="122" t="s">
        <v>682</v>
      </c>
      <c r="C57" s="123"/>
      <c r="D57" s="123"/>
      <c r="E57" s="124"/>
      <c r="G57" s="5"/>
      <c r="H57" s="5"/>
      <c r="I57" s="5"/>
      <c r="J57" s="5"/>
      <c r="K57" s="5"/>
    </row>
    <row r="58" spans="2:11" ht="24.75" thickBot="1" x14ac:dyDescent="0.3">
      <c r="B58" s="47" t="s">
        <v>683</v>
      </c>
      <c r="C58" s="40" t="s">
        <v>684</v>
      </c>
      <c r="D58" s="40" t="s">
        <v>685</v>
      </c>
      <c r="E58" s="40" t="s">
        <v>686</v>
      </c>
      <c r="F58" s="5"/>
      <c r="G58" s="5"/>
      <c r="H58" s="5"/>
      <c r="I58" s="5"/>
      <c r="J58" s="5"/>
    </row>
    <row r="59" spans="2:11" ht="72.75" thickBot="1" x14ac:dyDescent="0.3">
      <c r="B59" s="49">
        <v>42401</v>
      </c>
      <c r="C59" s="40">
        <v>1</v>
      </c>
      <c r="D59" s="50" t="s">
        <v>1043</v>
      </c>
      <c r="E59" s="40"/>
      <c r="F59" s="5"/>
      <c r="G59" s="5"/>
      <c r="H59" s="5"/>
      <c r="I59" s="5"/>
      <c r="J59" s="5"/>
    </row>
    <row r="60" spans="2:11" ht="15.75" thickBot="1" x14ac:dyDescent="0.3">
      <c r="B60" s="1"/>
      <c r="C60" s="76"/>
      <c r="D60" s="5"/>
      <c r="E60" s="5"/>
      <c r="F60" s="5"/>
      <c r="G60" s="5"/>
      <c r="H60" s="5"/>
      <c r="I60" s="5"/>
      <c r="J60" s="5"/>
      <c r="K60" s="5"/>
    </row>
    <row r="61" spans="2:11" ht="15.75" thickBot="1" x14ac:dyDescent="0.3">
      <c r="B61" s="4" t="s">
        <v>1044</v>
      </c>
      <c r="C61" s="96"/>
      <c r="D61" s="5"/>
      <c r="E61" s="5"/>
      <c r="F61" s="5"/>
      <c r="G61" s="5"/>
      <c r="H61" s="5"/>
      <c r="I61" s="5"/>
      <c r="J61" s="5"/>
      <c r="K61" s="5"/>
    </row>
    <row r="62" spans="2:11" x14ac:dyDescent="0.25">
      <c r="B62" s="1037"/>
      <c r="C62" s="1038"/>
      <c r="D62" s="1038"/>
      <c r="E62" s="5"/>
      <c r="F62" s="5"/>
      <c r="G62" s="5"/>
      <c r="H62" s="5"/>
      <c r="I62" s="5"/>
      <c r="J62" s="5"/>
      <c r="K62" s="5"/>
    </row>
    <row r="63" spans="2:11" x14ac:dyDescent="0.25">
      <c r="B63" s="1037"/>
      <c r="C63" s="1038"/>
      <c r="D63" s="1038"/>
      <c r="E63" s="5"/>
      <c r="F63" s="5"/>
      <c r="G63" s="5"/>
      <c r="H63" s="5"/>
      <c r="I63" s="5"/>
      <c r="J63" s="5"/>
      <c r="K63" s="5"/>
    </row>
    <row r="64" spans="2:11" ht="15.75" thickBot="1" x14ac:dyDescent="0.3">
      <c r="B64" s="5"/>
      <c r="D64" s="5"/>
      <c r="E64" s="5"/>
      <c r="F64" s="5"/>
      <c r="G64" s="5"/>
      <c r="H64" s="5"/>
      <c r="I64" s="5"/>
      <c r="J64" s="5"/>
      <c r="K64" s="5"/>
    </row>
    <row r="65" spans="2:11" ht="15.75" thickBot="1" x14ac:dyDescent="0.3">
      <c r="B65" s="971" t="s">
        <v>688</v>
      </c>
      <c r="C65" s="972"/>
      <c r="D65" s="973"/>
      <c r="E65" s="5"/>
      <c r="F65" s="5"/>
      <c r="G65" s="5"/>
      <c r="H65" s="5"/>
      <c r="I65" s="5"/>
      <c r="J65" s="5"/>
      <c r="K65" s="5"/>
    </row>
    <row r="66" spans="2:11" ht="60.75" thickBot="1" x14ac:dyDescent="0.3">
      <c r="B66" s="47" t="s">
        <v>689</v>
      </c>
      <c r="C66" s="2"/>
      <c r="D66" s="40" t="s">
        <v>1045</v>
      </c>
      <c r="E66" s="5"/>
      <c r="F66" s="5"/>
      <c r="G66" s="5"/>
      <c r="H66" s="5"/>
      <c r="I66" s="5"/>
      <c r="J66" s="5"/>
      <c r="K66" s="5"/>
    </row>
    <row r="67" spans="2:11" x14ac:dyDescent="0.25">
      <c r="B67" s="974" t="s">
        <v>691</v>
      </c>
      <c r="C67" s="94"/>
      <c r="D67" s="53" t="s">
        <v>692</v>
      </c>
      <c r="E67" s="5"/>
      <c r="F67" s="5"/>
      <c r="G67" s="5"/>
      <c r="H67" s="5"/>
      <c r="I67" s="5"/>
      <c r="J67" s="5"/>
      <c r="K67" s="5"/>
    </row>
    <row r="68" spans="2:11" ht="120" x14ac:dyDescent="0.25">
      <c r="B68" s="975"/>
      <c r="C68" s="94"/>
      <c r="D68" s="46" t="s">
        <v>1046</v>
      </c>
      <c r="E68" s="5"/>
      <c r="F68" s="5"/>
      <c r="G68" s="5"/>
      <c r="H68" s="5"/>
      <c r="I68" s="5"/>
      <c r="J68" s="5"/>
      <c r="K68" s="5"/>
    </row>
    <row r="69" spans="2:11" x14ac:dyDescent="0.25">
      <c r="B69" s="975"/>
      <c r="C69" s="94"/>
      <c r="D69" s="53" t="s">
        <v>695</v>
      </c>
      <c r="E69" s="5"/>
      <c r="F69" s="5"/>
      <c r="G69" s="5"/>
      <c r="H69" s="5"/>
      <c r="I69" s="5"/>
      <c r="J69" s="5"/>
      <c r="K69" s="5"/>
    </row>
    <row r="70" spans="2:11" x14ac:dyDescent="0.25">
      <c r="B70" s="975"/>
      <c r="C70" s="94"/>
      <c r="D70" s="46" t="s">
        <v>958</v>
      </c>
      <c r="E70" s="5"/>
      <c r="F70" s="5"/>
      <c r="G70" s="5"/>
      <c r="H70" s="5"/>
      <c r="I70" s="5"/>
      <c r="J70" s="5"/>
      <c r="K70" s="5"/>
    </row>
    <row r="71" spans="2:11" x14ac:dyDescent="0.25">
      <c r="B71" s="975"/>
      <c r="C71" s="94"/>
      <c r="D71" s="46" t="s">
        <v>1047</v>
      </c>
      <c r="E71" s="5"/>
      <c r="F71" s="5"/>
      <c r="G71" s="5"/>
      <c r="H71" s="5"/>
      <c r="I71" s="5"/>
      <c r="J71" s="5"/>
      <c r="K71" s="5"/>
    </row>
    <row r="72" spans="2:11" x14ac:dyDescent="0.25">
      <c r="B72" s="975"/>
      <c r="C72" s="94"/>
      <c r="D72" s="46" t="s">
        <v>800</v>
      </c>
      <c r="E72" s="5"/>
      <c r="F72" s="5"/>
      <c r="G72" s="5"/>
      <c r="H72" s="5"/>
      <c r="I72" s="5"/>
      <c r="J72" s="5"/>
      <c r="K72" s="5"/>
    </row>
    <row r="73" spans="2:11" x14ac:dyDescent="0.25">
      <c r="B73" s="975"/>
      <c r="C73" s="94"/>
      <c r="D73" s="46" t="s">
        <v>1048</v>
      </c>
      <c r="E73" s="5"/>
      <c r="F73" s="5"/>
      <c r="G73" s="5"/>
      <c r="H73" s="5"/>
      <c r="I73" s="5"/>
      <c r="J73" s="5"/>
      <c r="K73" s="5"/>
    </row>
    <row r="74" spans="2:11" x14ac:dyDescent="0.25">
      <c r="B74" s="975"/>
      <c r="C74" s="94"/>
      <c r="D74" s="46" t="s">
        <v>1049</v>
      </c>
      <c r="E74" s="5"/>
      <c r="F74" s="5"/>
      <c r="G74" s="5"/>
      <c r="H74" s="5"/>
      <c r="I74" s="5"/>
      <c r="J74" s="5"/>
      <c r="K74" s="5"/>
    </row>
    <row r="75" spans="2:11" x14ac:dyDescent="0.25">
      <c r="B75" s="975"/>
      <c r="C75" s="94"/>
      <c r="D75" s="46" t="s">
        <v>1050</v>
      </c>
      <c r="E75" s="5"/>
      <c r="F75" s="5"/>
      <c r="G75" s="5"/>
      <c r="H75" s="5"/>
      <c r="I75" s="5"/>
      <c r="J75" s="5"/>
      <c r="K75" s="5"/>
    </row>
    <row r="76" spans="2:11" x14ac:dyDescent="0.25">
      <c r="B76" s="975"/>
      <c r="C76" s="94"/>
      <c r="D76" s="46" t="s">
        <v>1051</v>
      </c>
      <c r="E76" s="5"/>
      <c r="F76" s="5"/>
      <c r="G76" s="5"/>
      <c r="H76" s="5"/>
      <c r="I76" s="5"/>
      <c r="J76" s="5"/>
      <c r="K76" s="5"/>
    </row>
    <row r="77" spans="2:11" x14ac:dyDescent="0.25">
      <c r="B77" s="975"/>
      <c r="C77" s="94"/>
      <c r="D77" s="53" t="s">
        <v>923</v>
      </c>
      <c r="E77" s="5"/>
      <c r="F77" s="5"/>
      <c r="G77" s="5"/>
      <c r="H77" s="5"/>
      <c r="I77" s="5"/>
      <c r="J77" s="5"/>
      <c r="K77" s="5"/>
    </row>
    <row r="78" spans="2:11" ht="36.75" thickBot="1" x14ac:dyDescent="0.3">
      <c r="B78" s="976"/>
      <c r="C78" s="2"/>
      <c r="D78" s="40" t="s">
        <v>1022</v>
      </c>
      <c r="E78" s="5"/>
      <c r="F78" s="5"/>
      <c r="G78" s="5"/>
      <c r="H78" s="5"/>
      <c r="I78" s="5"/>
      <c r="J78" s="5"/>
      <c r="K78" s="5"/>
    </row>
    <row r="79" spans="2:11" ht="24.75" thickBot="1" x14ac:dyDescent="0.3">
      <c r="B79" s="47" t="s">
        <v>704</v>
      </c>
      <c r="C79" s="2"/>
      <c r="D79" s="40"/>
      <c r="E79" s="5"/>
      <c r="F79" s="5"/>
      <c r="G79" s="5"/>
      <c r="H79" s="5"/>
      <c r="I79" s="5"/>
      <c r="J79" s="5"/>
      <c r="K79" s="5"/>
    </row>
    <row r="80" spans="2:11" ht="144" x14ac:dyDescent="0.25">
      <c r="B80" s="974" t="s">
        <v>705</v>
      </c>
      <c r="C80" s="94"/>
      <c r="D80" s="46" t="s">
        <v>1052</v>
      </c>
      <c r="E80" s="5"/>
      <c r="F80" s="5"/>
      <c r="G80" s="5"/>
      <c r="H80" s="5"/>
      <c r="I80" s="5"/>
      <c r="J80" s="5"/>
      <c r="K80" s="5"/>
    </row>
    <row r="81" spans="2:11" ht="72" x14ac:dyDescent="0.25">
      <c r="B81" s="975"/>
      <c r="C81" s="94"/>
      <c r="D81" s="46" t="s">
        <v>1053</v>
      </c>
      <c r="E81" s="5"/>
      <c r="F81" s="5"/>
      <c r="G81" s="5"/>
      <c r="H81" s="5"/>
      <c r="I81" s="5"/>
      <c r="J81" s="5"/>
      <c r="K81" s="5"/>
    </row>
    <row r="82" spans="2:11" ht="84" x14ac:dyDescent="0.25">
      <c r="B82" s="975"/>
      <c r="C82" s="94"/>
      <c r="D82" s="46" t="s">
        <v>1054</v>
      </c>
      <c r="E82" s="5"/>
      <c r="F82" s="5"/>
      <c r="G82" s="5"/>
      <c r="H82" s="5"/>
      <c r="I82" s="5"/>
      <c r="J82" s="5"/>
      <c r="K82" s="5"/>
    </row>
    <row r="83" spans="2:11" ht="108.75" thickBot="1" x14ac:dyDescent="0.3">
      <c r="B83" s="976"/>
      <c r="C83" s="2"/>
      <c r="D83" s="40" t="s">
        <v>1055</v>
      </c>
      <c r="E83" s="5"/>
      <c r="F83" s="5"/>
      <c r="G83" s="5"/>
      <c r="H83" s="5"/>
      <c r="I83" s="5"/>
      <c r="J83" s="5"/>
      <c r="K83" s="5"/>
    </row>
    <row r="84" spans="2:11" ht="36" x14ac:dyDescent="0.25">
      <c r="B84" s="974" t="s">
        <v>722</v>
      </c>
      <c r="C84" s="94"/>
      <c r="D84" s="53" t="s">
        <v>19</v>
      </c>
      <c r="E84" s="5"/>
      <c r="F84" s="5"/>
      <c r="G84" s="5"/>
      <c r="H84" s="5"/>
      <c r="I84" s="5"/>
      <c r="J84" s="5"/>
      <c r="K84" s="5"/>
    </row>
    <row r="85" spans="2:11" x14ac:dyDescent="0.25">
      <c r="B85" s="975"/>
      <c r="C85" s="94"/>
      <c r="D85" s="16"/>
      <c r="E85" s="5"/>
      <c r="F85" s="5"/>
      <c r="G85" s="5"/>
      <c r="H85" s="5"/>
      <c r="I85" s="5"/>
      <c r="J85" s="5"/>
      <c r="K85" s="5"/>
    </row>
    <row r="86" spans="2:11" x14ac:dyDescent="0.25">
      <c r="B86" s="975"/>
      <c r="C86" s="94"/>
      <c r="D86" s="46" t="s">
        <v>723</v>
      </c>
      <c r="E86" s="5"/>
      <c r="F86" s="5"/>
      <c r="G86" s="5"/>
      <c r="H86" s="5"/>
      <c r="I86" s="5"/>
      <c r="J86" s="5"/>
      <c r="K86" s="5"/>
    </row>
    <row r="87" spans="2:11" ht="61.5" x14ac:dyDescent="0.25">
      <c r="B87" s="975"/>
      <c r="C87" s="94"/>
      <c r="D87" s="46" t="s">
        <v>1056</v>
      </c>
      <c r="E87" s="5"/>
      <c r="F87" s="5"/>
      <c r="G87" s="5"/>
      <c r="H87" s="5"/>
      <c r="I87" s="5"/>
      <c r="J87" s="5"/>
      <c r="K87" s="5"/>
    </row>
    <row r="88" spans="2:11" ht="61.5" x14ac:dyDescent="0.25">
      <c r="B88" s="975"/>
      <c r="C88" s="94"/>
      <c r="D88" s="46" t="s">
        <v>1057</v>
      </c>
      <c r="E88" s="5"/>
      <c r="F88" s="5"/>
      <c r="G88" s="5"/>
      <c r="H88" s="5"/>
      <c r="I88" s="5"/>
      <c r="J88" s="5"/>
      <c r="K88" s="5"/>
    </row>
    <row r="89" spans="2:11" ht="38.25" thickBot="1" x14ac:dyDescent="0.3">
      <c r="B89" s="976"/>
      <c r="C89" s="2"/>
      <c r="D89" s="40" t="s">
        <v>1058</v>
      </c>
      <c r="E89" s="5"/>
      <c r="F89" s="5"/>
      <c r="G89" s="5"/>
      <c r="H89" s="5"/>
      <c r="I89" s="5"/>
      <c r="J89" s="5"/>
      <c r="K89" s="5"/>
    </row>
  </sheetData>
  <mergeCells count="25">
    <mergeCell ref="B84:B89"/>
    <mergeCell ref="B15:B20"/>
    <mergeCell ref="D15:J15"/>
    <mergeCell ref="D16:J16"/>
    <mergeCell ref="D36:J36"/>
    <mergeCell ref="D21:J21"/>
    <mergeCell ref="B65:D65"/>
    <mergeCell ref="B67:B78"/>
    <mergeCell ref="B80:B83"/>
    <mergeCell ref="D37:J37"/>
    <mergeCell ref="B39:E39"/>
    <mergeCell ref="B40:B46"/>
    <mergeCell ref="B48:E48"/>
    <mergeCell ref="B49:B55"/>
    <mergeCell ref="B62:D63"/>
    <mergeCell ref="A1:P1"/>
    <mergeCell ref="A2:P2"/>
    <mergeCell ref="A3:P3"/>
    <mergeCell ref="A4:D4"/>
    <mergeCell ref="A5:P5"/>
    <mergeCell ref="B10:D10"/>
    <mergeCell ref="F10:S10"/>
    <mergeCell ref="F11:S11"/>
    <mergeCell ref="E12:R12"/>
    <mergeCell ref="E13:R13"/>
  </mergeCells>
  <conditionalFormatting sqref="F10">
    <cfRule type="notContainsBlanks" dxfId="86" priority="3">
      <formula>LEN(TRIM(F10))&gt;0</formula>
    </cfRule>
  </conditionalFormatting>
  <conditionalFormatting sqref="F11:S11">
    <cfRule type="expression" dxfId="85" priority="1">
      <formula>E11="NO SE REPORTA"</formula>
    </cfRule>
    <cfRule type="expression" dxfId="84" priority="2">
      <formula>E10="NO APLICA"</formula>
    </cfRule>
  </conditionalFormatting>
  <dataValidations count="6">
    <dataValidation type="list" allowBlank="1" showInputMessage="1" showErrorMessage="1" sqref="E10" xr:uid="{00000000-0002-0000-1200-000005000000}">
      <formula1>SI</formula1>
    </dataValidation>
    <dataValidation type="list" allowBlank="1" showInputMessage="1" showErrorMessage="1" sqref="E11" xr:uid="{00000000-0002-0000-1200-000004000000}">
      <formula1>REPORTE</formula1>
    </dataValidation>
    <dataValidation allowBlank="1" showInputMessage="1" showErrorMessage="1" promptTitle="ESTADO" prompt="en preparación_x000a_en aprestamiento_x000a_en declaración_x000a_Declarado" sqref="I38" xr:uid="{00000000-0002-0000-1200-000003000000}"/>
    <dataValidation type="whole" operator="greaterThanOrEqual" allowBlank="1" showInputMessage="1" showErrorMessage="1" errorTitle="ERROR" error="Valor en HECTAREAS (sin decimales)_x000a_" sqref="G38:H38" xr:uid="{00000000-0002-0000-1200-000002000000}">
      <formula1>0</formula1>
    </dataValidation>
    <dataValidation allowBlank="1" showInputMessage="1" showErrorMessage="1" promptTitle="OJO" prompt="NO TOCAR" sqref="E20:J20 J18:J19" xr:uid="{00000000-0002-0000-1200-000001000000}"/>
    <dataValidation type="whole" operator="greaterThanOrEqual" allowBlank="1" showErrorMessage="1" errorTitle="ERROR" error="Escriba un número igual o mayor que 0" promptTitle="ERROR" prompt="Escriba un número igual o mayor que 0" sqref="E18:I19" xr:uid="{00000000-0002-0000-1200-000000000000}">
      <formula1>0</formula1>
    </dataValidation>
  </dataValidations>
  <hyperlinks>
    <hyperlink ref="B9" location="'ANEXO 3'!A1" display="VOLVER AL INDICE" xr:uid="{A370C1D1-7650-4D33-9B69-62A51EDB42C0}"/>
    <hyperlink ref="E44" r:id="rId1" xr:uid="{B780B3DA-F9BE-4175-9B1F-379AD79EC228}"/>
  </hyperlinks>
  <pageMargins left="0.25" right="0.25" top="0.75" bottom="0.75" header="0.3" footer="0.3"/>
  <pageSetup paperSize="178" orientation="landscape" horizontalDpi="1200" verticalDpi="1200"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FB69D-8DF7-449C-B6A2-759215081E77}">
  <dimension ref="A1:U184"/>
  <sheetViews>
    <sheetView showGridLines="0" topLeftCell="A34" zoomScale="98" zoomScaleNormal="98" workbookViewId="0">
      <selection activeCell="I18" sqref="I18"/>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 min="12" max="12" width="23" customWidth="1"/>
    <col min="13" max="13" width="11" customWidth="1"/>
    <col min="14" max="16" width="8.85546875" customWidth="1"/>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20</v>
      </c>
      <c r="B5" s="998"/>
      <c r="C5" s="998"/>
      <c r="D5" s="998"/>
      <c r="E5" s="998"/>
      <c r="F5" s="998"/>
      <c r="G5" s="998"/>
      <c r="H5" s="998"/>
      <c r="I5" s="998"/>
      <c r="J5" s="998"/>
      <c r="K5" s="998"/>
      <c r="L5" s="998"/>
      <c r="M5" s="998"/>
      <c r="N5" s="998"/>
      <c r="O5" s="998"/>
      <c r="P5" s="999"/>
    </row>
    <row r="6" spans="1:21" x14ac:dyDescent="0.25">
      <c r="B6" s="1" t="s">
        <v>626</v>
      </c>
      <c r="C6" s="76"/>
      <c r="D6" s="5"/>
      <c r="E6" s="74"/>
      <c r="F6" s="5" t="s">
        <v>627</v>
      </c>
      <c r="G6" s="5"/>
      <c r="H6" s="5"/>
      <c r="I6" s="5"/>
      <c r="J6" s="5"/>
      <c r="K6" s="5"/>
      <c r="L6" s="5"/>
    </row>
    <row r="7" spans="1:21" ht="15.75" thickBot="1" x14ac:dyDescent="0.3">
      <c r="B7" s="75"/>
      <c r="C7" s="77"/>
      <c r="D7" s="5"/>
      <c r="E7" s="17"/>
      <c r="F7" s="5" t="s">
        <v>628</v>
      </c>
      <c r="G7" s="5"/>
      <c r="H7" s="5"/>
      <c r="I7" s="5"/>
      <c r="J7" s="5"/>
      <c r="K7" s="5" t="s">
        <v>1059</v>
      </c>
    </row>
    <row r="8" spans="1:21" ht="15.75" thickBot="1" x14ac:dyDescent="0.3">
      <c r="B8" s="171" t="s">
        <v>629</v>
      </c>
      <c r="C8" s="211">
        <v>2024</v>
      </c>
      <c r="D8" s="216" t="str">
        <f>IF(E10="NO APLICA","NO APLICA",IF(E11="NO SE REPORTA","SIN INFORMACION",+O34))</f>
        <v>SIN INFORMACION</v>
      </c>
      <c r="E8" s="212"/>
      <c r="F8" s="5" t="s">
        <v>630</v>
      </c>
      <c r="G8" s="5"/>
      <c r="H8" s="5"/>
      <c r="I8" s="5"/>
      <c r="J8" s="5"/>
      <c r="K8" s="5"/>
      <c r="L8" s="5"/>
    </row>
    <row r="9" spans="1:21" x14ac:dyDescent="0.25">
      <c r="B9" s="358" t="s">
        <v>631</v>
      </c>
      <c r="C9" s="88"/>
      <c r="D9" s="5"/>
      <c r="E9" s="5"/>
      <c r="F9" s="5"/>
      <c r="G9" s="5"/>
      <c r="H9" s="5"/>
      <c r="I9" s="5"/>
    </row>
    <row r="10" spans="1:21" x14ac:dyDescent="0.25">
      <c r="B10" s="1008" t="s">
        <v>632</v>
      </c>
      <c r="C10" s="1008"/>
      <c r="D10" s="1008"/>
      <c r="E10" s="361" t="s">
        <v>633</v>
      </c>
      <c r="F10" s="995"/>
      <c r="G10" s="996"/>
      <c r="H10" s="996"/>
      <c r="I10" s="996"/>
      <c r="J10" s="996"/>
      <c r="K10" s="996"/>
      <c r="L10" s="996"/>
      <c r="M10" s="996"/>
      <c r="N10" s="996"/>
      <c r="O10" s="996"/>
      <c r="P10" s="996"/>
      <c r="Q10" s="996"/>
      <c r="R10" s="996"/>
      <c r="S10" s="996"/>
      <c r="T10" s="5"/>
      <c r="U10" s="5"/>
    </row>
    <row r="11" spans="1:21" ht="14.45" customHeight="1" x14ac:dyDescent="0.25">
      <c r="B11" s="360"/>
      <c r="C11" s="88"/>
      <c r="D11" s="171" t="str">
        <f>IF(E10="SI APLICA","¿El indicador no se reporta por limitaciones de información disponible? ","")</f>
        <v xml:space="preserve">¿El indicador no se reporta por limitaciones de información disponible? </v>
      </c>
      <c r="E11" s="362" t="s">
        <v>1060</v>
      </c>
      <c r="F11" s="1009"/>
      <c r="G11" s="1010"/>
      <c r="H11" s="1010"/>
      <c r="I11" s="1010"/>
      <c r="J11" s="1010"/>
      <c r="K11" s="1010"/>
      <c r="L11" s="1010"/>
      <c r="M11" s="1010"/>
      <c r="N11" s="1010"/>
      <c r="O11" s="1010"/>
      <c r="P11" s="1010"/>
      <c r="Q11" s="1010"/>
      <c r="R11" s="1010"/>
      <c r="S11" s="1010"/>
    </row>
    <row r="12" spans="1:21" ht="23.45" customHeight="1" x14ac:dyDescent="0.25">
      <c r="B12" s="358"/>
      <c r="C12" s="88"/>
      <c r="D12" s="171" t="str">
        <f>IF(E11="SI SE REPORTA","¿Qué programas o proyectos del Plan de Acción están asociados al indicador? ","")</f>
        <v/>
      </c>
      <c r="E12" s="1011"/>
      <c r="F12" s="1011"/>
      <c r="G12" s="1011"/>
      <c r="H12" s="1011"/>
      <c r="I12" s="1011"/>
      <c r="J12" s="1011"/>
      <c r="K12" s="1011"/>
      <c r="L12" s="1011"/>
      <c r="M12" s="1011"/>
      <c r="N12" s="1011"/>
      <c r="O12" s="1011"/>
      <c r="P12" s="1011"/>
      <c r="Q12" s="1011"/>
      <c r="R12" s="1011"/>
    </row>
    <row r="13" spans="1:21" ht="21.95" customHeight="1" x14ac:dyDescent="0.25">
      <c r="B13" s="358"/>
      <c r="C13" s="88"/>
      <c r="D13" s="171" t="s">
        <v>635</v>
      </c>
      <c r="E13" s="1012" t="s">
        <v>2317</v>
      </c>
      <c r="F13" s="1013"/>
      <c r="G13" s="1013"/>
      <c r="H13" s="1013"/>
      <c r="I13" s="1013"/>
      <c r="J13" s="1013"/>
      <c r="K13" s="1013"/>
      <c r="L13" s="1013"/>
      <c r="M13" s="1013"/>
      <c r="N13" s="1013"/>
      <c r="O13" s="1013"/>
      <c r="P13" s="1013"/>
      <c r="Q13" s="1013"/>
      <c r="R13" s="1014"/>
    </row>
    <row r="14" spans="1:21" ht="6.95" customHeight="1" thickBot="1" x14ac:dyDescent="0.3">
      <c r="B14" s="358"/>
      <c r="C14" s="88"/>
      <c r="D14" s="5"/>
      <c r="E14" s="5"/>
      <c r="F14" s="5"/>
      <c r="G14" s="5"/>
      <c r="H14" s="5"/>
      <c r="I14" s="5"/>
    </row>
    <row r="15" spans="1:21" ht="15.6" customHeight="1" thickBot="1" x14ac:dyDescent="0.3">
      <c r="B15" s="974" t="s">
        <v>636</v>
      </c>
      <c r="C15" s="89"/>
      <c r="D15" s="956" t="s">
        <v>940</v>
      </c>
      <c r="E15" s="957"/>
      <c r="F15" s="957"/>
      <c r="G15" s="957"/>
      <c r="H15" s="957"/>
      <c r="I15" s="958"/>
      <c r="K15" s="299" t="s">
        <v>1035</v>
      </c>
      <c r="L15" s="299" t="s">
        <v>1061</v>
      </c>
      <c r="M15" s="299" t="s">
        <v>1062</v>
      </c>
      <c r="N15" s="299" t="s">
        <v>737</v>
      </c>
      <c r="O15" s="215"/>
    </row>
    <row r="16" spans="1:21" ht="21.6" customHeight="1" thickBot="1" x14ac:dyDescent="0.3">
      <c r="B16" s="975"/>
      <c r="C16" s="98" t="s">
        <v>585</v>
      </c>
      <c r="D16" s="43" t="s">
        <v>763</v>
      </c>
      <c r="E16" s="38" t="s">
        <v>764</v>
      </c>
      <c r="F16" s="5"/>
      <c r="G16" s="5"/>
      <c r="I16" s="21"/>
      <c r="K16" s="299" t="s">
        <v>1063</v>
      </c>
      <c r="L16" s="307" t="s">
        <v>1064</v>
      </c>
      <c r="M16" s="300">
        <v>0.05</v>
      </c>
      <c r="N16" s="300">
        <v>0.05</v>
      </c>
      <c r="O16" s="215"/>
    </row>
    <row r="17" spans="2:18" ht="34.700000000000003" customHeight="1" thickBot="1" x14ac:dyDescent="0.3">
      <c r="B17" s="975"/>
      <c r="C17" s="2" t="s">
        <v>765</v>
      </c>
      <c r="D17" s="40" t="s">
        <v>1065</v>
      </c>
      <c r="E17" s="186">
        <v>2290500</v>
      </c>
      <c r="F17" s="5"/>
      <c r="G17" s="5"/>
      <c r="I17" s="21"/>
      <c r="K17" s="299" t="s">
        <v>1066</v>
      </c>
      <c r="L17" s="307" t="s">
        <v>1067</v>
      </c>
      <c r="M17" s="300">
        <v>0.15</v>
      </c>
      <c r="N17" s="300">
        <f>+M17+N16</f>
        <v>0.2</v>
      </c>
      <c r="O17" s="215"/>
    </row>
    <row r="18" spans="2:18" ht="34.700000000000003" customHeight="1" thickBot="1" x14ac:dyDescent="0.3">
      <c r="B18" s="975"/>
      <c r="C18" s="2" t="s">
        <v>767</v>
      </c>
      <c r="D18" s="40" t="s">
        <v>1068</v>
      </c>
      <c r="E18" s="207"/>
      <c r="F18" s="5"/>
      <c r="G18" s="5"/>
      <c r="I18" s="21"/>
      <c r="K18" s="299" t="s">
        <v>1069</v>
      </c>
      <c r="L18" s="307" t="s">
        <v>1070</v>
      </c>
      <c r="M18" s="300">
        <v>0.15</v>
      </c>
      <c r="N18" s="300">
        <f>+M18+N17</f>
        <v>0.35</v>
      </c>
      <c r="O18" s="215"/>
    </row>
    <row r="19" spans="2:18" ht="34.700000000000003" customHeight="1" thickBot="1" x14ac:dyDescent="0.3">
      <c r="B19" s="975"/>
      <c r="C19" s="2" t="s">
        <v>769</v>
      </c>
      <c r="D19" s="40" t="s">
        <v>1071</v>
      </c>
      <c r="E19" s="207"/>
      <c r="F19" s="5"/>
      <c r="G19" s="5"/>
      <c r="I19" s="21"/>
      <c r="K19" s="299" t="s">
        <v>1072</v>
      </c>
      <c r="L19" s="307" t="s">
        <v>1073</v>
      </c>
      <c r="M19" s="300">
        <v>0.2</v>
      </c>
      <c r="N19" s="300">
        <f>+M19+N18</f>
        <v>0.55000000000000004</v>
      </c>
      <c r="O19" s="215"/>
    </row>
    <row r="20" spans="2:18" ht="34.700000000000003" customHeight="1" thickBot="1" x14ac:dyDescent="0.3">
      <c r="B20" s="975"/>
      <c r="C20" s="2" t="s">
        <v>853</v>
      </c>
      <c r="D20" s="40" t="s">
        <v>1074</v>
      </c>
      <c r="E20" s="134">
        <f>+E18+E19</f>
        <v>0</v>
      </c>
      <c r="F20" s="5"/>
      <c r="G20" s="5"/>
      <c r="I20" s="21"/>
      <c r="K20" s="299" t="s">
        <v>1075</v>
      </c>
      <c r="L20" s="307" t="s">
        <v>1076</v>
      </c>
      <c r="M20" s="300">
        <v>0.2</v>
      </c>
      <c r="N20" s="300">
        <f>+M20+N19</f>
        <v>0.75</v>
      </c>
      <c r="O20" s="215"/>
    </row>
    <row r="21" spans="2:18" ht="34.700000000000003" customHeight="1" thickBot="1" x14ac:dyDescent="0.3">
      <c r="B21" s="975"/>
      <c r="C21" s="2" t="s">
        <v>855</v>
      </c>
      <c r="D21" s="40" t="s">
        <v>1077</v>
      </c>
      <c r="E21" s="207"/>
      <c r="F21" s="5"/>
      <c r="G21" s="5"/>
      <c r="I21" s="21"/>
      <c r="K21" s="299" t="s">
        <v>1078</v>
      </c>
      <c r="L21" s="307" t="s">
        <v>1079</v>
      </c>
      <c r="M21" s="300">
        <v>0.25</v>
      </c>
      <c r="N21" s="300">
        <f>+M21+N20</f>
        <v>1</v>
      </c>
      <c r="R21" t="s">
        <v>1080</v>
      </c>
    </row>
    <row r="22" spans="2:18" ht="15" customHeight="1" x14ac:dyDescent="0.25">
      <c r="B22" s="975"/>
      <c r="C22" s="92"/>
      <c r="D22" s="962"/>
      <c r="E22" s="963"/>
      <c r="F22" s="963"/>
      <c r="G22" s="963"/>
      <c r="H22" s="963"/>
      <c r="I22" s="964"/>
      <c r="K22" s="299" t="s">
        <v>764</v>
      </c>
      <c r="L22" s="299"/>
      <c r="M22" s="300">
        <f>SUM(M16:M21)</f>
        <v>1</v>
      </c>
    </row>
    <row r="23" spans="2:18" ht="15.75" thickBot="1" x14ac:dyDescent="0.3">
      <c r="B23" s="975"/>
      <c r="C23" s="92"/>
      <c r="D23" s="986" t="s">
        <v>1081</v>
      </c>
      <c r="E23" s="987"/>
      <c r="F23" s="987"/>
      <c r="G23" s="987"/>
      <c r="H23" s="987"/>
      <c r="I23" s="988"/>
      <c r="J23" s="5"/>
      <c r="K23" s="5"/>
      <c r="L23" s="5"/>
    </row>
    <row r="24" spans="2:18" ht="15" customHeight="1" thickBot="1" x14ac:dyDescent="0.3">
      <c r="B24" s="975"/>
      <c r="C24" s="94"/>
      <c r="D24" s="38" t="s">
        <v>763</v>
      </c>
      <c r="E24" s="38" t="s">
        <v>587</v>
      </c>
      <c r="F24" s="38" t="s">
        <v>588</v>
      </c>
      <c r="G24" s="38" t="s">
        <v>589</v>
      </c>
      <c r="H24" s="38" t="s">
        <v>590</v>
      </c>
      <c r="I24" s="38" t="s">
        <v>764</v>
      </c>
      <c r="J24" s="5"/>
      <c r="K24" s="1065" t="s">
        <v>1035</v>
      </c>
      <c r="L24" s="1065" t="s">
        <v>1082</v>
      </c>
      <c r="M24" s="1065" t="s">
        <v>587</v>
      </c>
      <c r="N24" s="1065" t="s">
        <v>588</v>
      </c>
      <c r="O24" s="1065" t="s">
        <v>589</v>
      </c>
      <c r="P24" s="1065" t="s">
        <v>590</v>
      </c>
    </row>
    <row r="25" spans="2:18" ht="15" customHeight="1" thickBot="1" x14ac:dyDescent="0.3">
      <c r="B25" s="975"/>
      <c r="C25" s="94"/>
      <c r="D25" s="39" t="s">
        <v>1083</v>
      </c>
      <c r="E25" s="207"/>
      <c r="F25" s="207"/>
      <c r="G25" s="207"/>
      <c r="H25" s="207"/>
      <c r="I25" s="296">
        <f>[5]Formulas!$I$15</f>
        <v>0</v>
      </c>
      <c r="J25" s="5"/>
      <c r="K25" s="1065"/>
      <c r="L25" s="1065"/>
      <c r="M25" s="1065"/>
      <c r="N25" s="1065"/>
      <c r="O25" s="1065"/>
      <c r="P25" s="1065"/>
    </row>
    <row r="26" spans="2:18" ht="15" customHeight="1" thickBot="1" x14ac:dyDescent="0.3">
      <c r="B26" s="975"/>
      <c r="C26" s="94"/>
      <c r="D26" s="39" t="s">
        <v>987</v>
      </c>
      <c r="E26" s="207"/>
      <c r="F26" s="207"/>
      <c r="G26" s="207"/>
      <c r="H26" s="207"/>
      <c r="I26" s="294"/>
      <c r="J26" s="5"/>
      <c r="K26" s="299" t="str">
        <f>+D26</f>
        <v>Sin iniciar</v>
      </c>
      <c r="L26" s="298"/>
      <c r="M26" s="295">
        <f t="shared" ref="M26:P29" si="0">+$L26*E26</f>
        <v>0</v>
      </c>
      <c r="N26" s="295">
        <f t="shared" si="0"/>
        <v>0</v>
      </c>
      <c r="O26" s="295">
        <f t="shared" si="0"/>
        <v>0</v>
      </c>
      <c r="P26" s="295">
        <f t="shared" si="0"/>
        <v>0</v>
      </c>
    </row>
    <row r="27" spans="2:18" ht="15" customHeight="1" thickBot="1" x14ac:dyDescent="0.3">
      <c r="B27" s="975"/>
      <c r="C27" s="94"/>
      <c r="D27" s="39" t="s">
        <v>1084</v>
      </c>
      <c r="E27" s="207"/>
      <c r="F27" s="207"/>
      <c r="G27" s="207"/>
      <c r="H27" s="207"/>
      <c r="I27" s="294"/>
      <c r="J27" s="5"/>
      <c r="K27" s="299" t="str">
        <f>+D27</f>
        <v>En formulación</v>
      </c>
      <c r="L27" s="298"/>
      <c r="M27" s="295">
        <f t="shared" si="0"/>
        <v>0</v>
      </c>
      <c r="N27" s="295">
        <f t="shared" si="0"/>
        <v>0</v>
      </c>
      <c r="O27" s="295">
        <f t="shared" si="0"/>
        <v>0</v>
      </c>
      <c r="P27" s="295">
        <f t="shared" si="0"/>
        <v>0</v>
      </c>
    </row>
    <row r="28" spans="2:18" ht="15" customHeight="1" thickBot="1" x14ac:dyDescent="0.3">
      <c r="B28" s="975"/>
      <c r="C28" s="94"/>
      <c r="D28" s="39" t="s">
        <v>1085</v>
      </c>
      <c r="E28" s="207"/>
      <c r="F28" s="207"/>
      <c r="G28" s="207"/>
      <c r="H28" s="207"/>
      <c r="I28" s="294"/>
      <c r="J28" s="5"/>
      <c r="K28" s="299" t="str">
        <f>+D28</f>
        <v>En actualización</v>
      </c>
      <c r="L28" s="298"/>
      <c r="M28" s="295">
        <f t="shared" si="0"/>
        <v>0</v>
      </c>
      <c r="N28" s="295">
        <f t="shared" si="0"/>
        <v>0</v>
      </c>
      <c r="O28" s="295">
        <f t="shared" si="0"/>
        <v>0</v>
      </c>
      <c r="P28" s="295">
        <f t="shared" si="0"/>
        <v>0</v>
      </c>
    </row>
    <row r="29" spans="2:18" ht="15.75" thickBot="1" x14ac:dyDescent="0.3">
      <c r="B29" s="975"/>
      <c r="C29" s="94"/>
      <c r="D29" s="39" t="s">
        <v>1086</v>
      </c>
      <c r="E29" s="207"/>
      <c r="F29" s="207"/>
      <c r="G29" s="207"/>
      <c r="H29" s="207"/>
      <c r="I29" s="294"/>
      <c r="J29" s="5"/>
      <c r="K29" s="299" t="str">
        <f>+D29</f>
        <v>Plan forestal adoptado</v>
      </c>
      <c r="L29" s="298"/>
      <c r="M29" s="295">
        <f t="shared" si="0"/>
        <v>0</v>
      </c>
      <c r="N29" s="295">
        <f t="shared" si="0"/>
        <v>0</v>
      </c>
      <c r="O29" s="295">
        <f t="shared" si="0"/>
        <v>0</v>
      </c>
      <c r="P29" s="295">
        <f t="shared" si="0"/>
        <v>0</v>
      </c>
    </row>
    <row r="30" spans="2:18" ht="15" customHeight="1" thickBot="1" x14ac:dyDescent="0.3">
      <c r="B30" s="975"/>
      <c r="C30" s="94"/>
      <c r="D30" s="39" t="s">
        <v>764</v>
      </c>
      <c r="E30" s="138">
        <f>[5]Formulas!D15</f>
        <v>0</v>
      </c>
      <c r="F30" s="138">
        <f>[5]Formulas!E15</f>
        <v>0</v>
      </c>
      <c r="G30" s="138">
        <f>[5]Formulas!F15</f>
        <v>0</v>
      </c>
      <c r="H30" s="138">
        <f>[5]Formulas!G15</f>
        <v>0</v>
      </c>
      <c r="I30" s="294"/>
      <c r="J30" s="5"/>
      <c r="K30" s="299"/>
      <c r="L30" s="299" t="s">
        <v>1087</v>
      </c>
      <c r="M30" s="295">
        <f>SUM(M26:M29)</f>
        <v>0</v>
      </c>
      <c r="N30" s="295">
        <f>SUM(N26:N29)</f>
        <v>0</v>
      </c>
      <c r="O30" s="295">
        <f>SUM(O26:O29)</f>
        <v>0</v>
      </c>
      <c r="P30" s="295">
        <f>SUM(P26:P29)</f>
        <v>0</v>
      </c>
    </row>
    <row r="31" spans="2:18" ht="14.45" customHeight="1" x14ac:dyDescent="0.25">
      <c r="B31" s="975"/>
      <c r="C31" s="92"/>
      <c r="D31" s="956" t="s">
        <v>1088</v>
      </c>
      <c r="E31" s="957"/>
      <c r="F31" s="957"/>
      <c r="G31" s="957"/>
      <c r="H31" s="957"/>
      <c r="I31" s="958"/>
      <c r="J31" s="5"/>
      <c r="K31" s="299"/>
      <c r="L31" s="299" t="s">
        <v>1089</v>
      </c>
      <c r="M31" s="297" t="e">
        <f>+M30/$I$25</f>
        <v>#DIV/0!</v>
      </c>
      <c r="N31" s="297" t="e">
        <f>+N30/$I$25</f>
        <v>#DIV/0!</v>
      </c>
      <c r="O31" s="297" t="e">
        <f>+O30/$I$25</f>
        <v>#DIV/0!</v>
      </c>
      <c r="P31" s="297" t="e">
        <f>+P30/$I$25</f>
        <v>#DIV/0!</v>
      </c>
    </row>
    <row r="32" spans="2:18" ht="24" customHeight="1" x14ac:dyDescent="0.25">
      <c r="B32" s="975"/>
      <c r="C32" s="92"/>
      <c r="D32" s="962" t="s">
        <v>1090</v>
      </c>
      <c r="E32" s="963"/>
      <c r="F32" s="963"/>
      <c r="G32" s="963"/>
      <c r="H32" s="963"/>
      <c r="I32" s="964"/>
      <c r="J32" s="5"/>
      <c r="K32" s="299"/>
      <c r="L32" s="299" t="s">
        <v>1091</v>
      </c>
      <c r="M32" s="297" t="e">
        <f>+$M$45</f>
        <v>#DIV/0!</v>
      </c>
      <c r="N32" s="297" t="e">
        <f>+$M$45</f>
        <v>#DIV/0!</v>
      </c>
      <c r="O32" s="297" t="e">
        <f>+$M$45</f>
        <v>#DIV/0!</v>
      </c>
      <c r="P32" s="297" t="e">
        <f>+$M$45</f>
        <v>#DIV/0!</v>
      </c>
    </row>
    <row r="33" spans="2:16" ht="15" customHeight="1" thickBot="1" x14ac:dyDescent="0.3">
      <c r="B33" s="975"/>
      <c r="C33" s="92"/>
      <c r="D33" s="959" t="s">
        <v>1092</v>
      </c>
      <c r="E33" s="960"/>
      <c r="F33" s="960"/>
      <c r="G33" s="960"/>
      <c r="H33" s="960"/>
      <c r="I33" s="961"/>
      <c r="J33" s="5"/>
      <c r="K33" s="299"/>
      <c r="L33" s="299" t="s">
        <v>1093</v>
      </c>
      <c r="M33" s="295">
        <f>+$M$46</f>
        <v>0</v>
      </c>
      <c r="N33" s="295">
        <f>+$M$46</f>
        <v>0</v>
      </c>
      <c r="O33" s="295">
        <f>+$M$46</f>
        <v>0</v>
      </c>
      <c r="P33" s="295">
        <f>+$M$46</f>
        <v>0</v>
      </c>
    </row>
    <row r="34" spans="2:16" ht="48.75" thickBot="1" x14ac:dyDescent="0.3">
      <c r="B34" s="975"/>
      <c r="C34" s="94"/>
      <c r="D34" s="43" t="s">
        <v>1094</v>
      </c>
      <c r="E34" s="43" t="s">
        <v>1095</v>
      </c>
      <c r="F34" s="43" t="s">
        <v>1096</v>
      </c>
      <c r="G34" s="43" t="s">
        <v>1097</v>
      </c>
      <c r="H34" s="43" t="s">
        <v>1098</v>
      </c>
      <c r="I34" s="21"/>
      <c r="J34" s="5"/>
      <c r="K34" s="299"/>
      <c r="L34" s="299" t="s">
        <v>20</v>
      </c>
      <c r="M34" s="297" t="e">
        <f>+M30/M33</f>
        <v>#DIV/0!</v>
      </c>
      <c r="N34" s="297" t="e">
        <f>+N30/N33</f>
        <v>#DIV/0!</v>
      </c>
      <c r="O34" s="297" t="e">
        <f>+O30/O33</f>
        <v>#DIV/0!</v>
      </c>
      <c r="P34" s="297" t="e">
        <f>+P30/P33</f>
        <v>#DIV/0!</v>
      </c>
    </row>
    <row r="35" spans="2:16" ht="15" customHeight="1" thickBot="1" x14ac:dyDescent="0.3">
      <c r="B35" s="975"/>
      <c r="C35" s="94"/>
      <c r="D35" s="30"/>
      <c r="E35" s="30"/>
      <c r="F35" s="207"/>
      <c r="G35" s="30"/>
      <c r="H35" s="30"/>
      <c r="I35" s="21"/>
      <c r="J35" s="5"/>
      <c r="K35" s="5"/>
      <c r="L35" s="5"/>
      <c r="M35" s="5"/>
      <c r="N35" s="5"/>
      <c r="O35" s="5"/>
      <c r="P35" s="5"/>
    </row>
    <row r="36" spans="2:16" ht="15" customHeight="1" thickBot="1" x14ac:dyDescent="0.3">
      <c r="B36" s="975"/>
      <c r="C36" s="94"/>
      <c r="D36" s="30"/>
      <c r="E36" s="30"/>
      <c r="F36" s="207"/>
      <c r="G36" s="30"/>
      <c r="H36" s="30"/>
      <c r="I36" s="21"/>
      <c r="J36" s="5"/>
      <c r="K36" s="5"/>
      <c r="L36" s="5"/>
    </row>
    <row r="37" spans="2:16" ht="15" customHeight="1" thickBot="1" x14ac:dyDescent="0.3">
      <c r="B37" s="975"/>
      <c r="C37" s="94"/>
      <c r="D37" s="30"/>
      <c r="E37" s="30"/>
      <c r="F37" s="207"/>
      <c r="G37" s="30"/>
      <c r="H37" s="30"/>
      <c r="I37" s="21"/>
      <c r="J37" s="5"/>
      <c r="K37" s="5"/>
      <c r="L37" t="s">
        <v>1099</v>
      </c>
    </row>
    <row r="38" spans="2:16" ht="15" customHeight="1" thickBot="1" x14ac:dyDescent="0.3">
      <c r="B38" s="975"/>
      <c r="C38" s="94"/>
      <c r="D38" s="30"/>
      <c r="E38" s="30"/>
      <c r="F38" s="207"/>
      <c r="G38" s="30"/>
      <c r="H38" s="30"/>
      <c r="I38" s="21"/>
      <c r="J38" s="5"/>
      <c r="K38" s="5"/>
      <c r="L38" s="5"/>
    </row>
    <row r="39" spans="2:16" ht="15" customHeight="1" thickBot="1" x14ac:dyDescent="0.3">
      <c r="B39" s="975"/>
      <c r="C39" s="94"/>
      <c r="D39" s="30"/>
      <c r="E39" s="30"/>
      <c r="F39" s="207"/>
      <c r="G39" s="30"/>
      <c r="H39" s="30"/>
      <c r="I39" s="21"/>
      <c r="J39" s="5"/>
      <c r="K39" s="1065" t="s">
        <v>1100</v>
      </c>
      <c r="L39" s="1065" t="s">
        <v>1101</v>
      </c>
      <c r="M39" s="1065" t="s">
        <v>1102</v>
      </c>
    </row>
    <row r="40" spans="2:16" ht="15" customHeight="1" thickBot="1" x14ac:dyDescent="0.3">
      <c r="B40" s="975"/>
      <c r="C40" s="94"/>
      <c r="D40" s="30"/>
      <c r="E40" s="30"/>
      <c r="F40" s="207"/>
      <c r="G40" s="30"/>
      <c r="H40" s="30"/>
      <c r="I40" s="21"/>
      <c r="J40" s="5"/>
      <c r="K40" s="1065"/>
      <c r="L40" s="1065"/>
      <c r="M40" s="1065"/>
    </row>
    <row r="41" spans="2:16" ht="15.75" thickBot="1" x14ac:dyDescent="0.3">
      <c r="B41" s="975"/>
      <c r="C41" s="94"/>
      <c r="D41" s="30"/>
      <c r="E41" s="30"/>
      <c r="F41" s="207"/>
      <c r="G41" s="30"/>
      <c r="H41" s="30"/>
      <c r="I41" s="21"/>
      <c r="J41" s="5"/>
      <c r="K41" s="299" t="str">
        <f>+K26</f>
        <v>Sin iniciar</v>
      </c>
      <c r="L41" s="333"/>
      <c r="M41" s="502"/>
    </row>
    <row r="42" spans="2:16" ht="15.75" thickBot="1" x14ac:dyDescent="0.3">
      <c r="B42" s="975"/>
      <c r="C42" s="94"/>
      <c r="D42" s="30"/>
      <c r="E42" s="30"/>
      <c r="F42" s="207"/>
      <c r="G42" s="30"/>
      <c r="H42" s="30"/>
      <c r="I42" s="21"/>
      <c r="J42" s="5"/>
      <c r="K42" s="299" t="str">
        <f>+K27</f>
        <v>En formulación</v>
      </c>
      <c r="L42" s="333"/>
      <c r="M42" s="301"/>
    </row>
    <row r="43" spans="2:16" ht="24" customHeight="1" thickBot="1" x14ac:dyDescent="0.3">
      <c r="B43" s="976"/>
      <c r="C43" s="93"/>
      <c r="D43" s="986" t="s">
        <v>1103</v>
      </c>
      <c r="E43" s="987"/>
      <c r="F43" s="987"/>
      <c r="G43" s="987"/>
      <c r="H43" s="987"/>
      <c r="I43" s="988"/>
      <c r="J43" s="5"/>
      <c r="K43" s="299" t="str">
        <f>+K28</f>
        <v>En actualización</v>
      </c>
      <c r="L43" s="333"/>
      <c r="M43" s="301"/>
    </row>
    <row r="44" spans="2:16" ht="24" customHeight="1" thickBot="1" x14ac:dyDescent="0.3">
      <c r="B44" s="47" t="s">
        <v>671</v>
      </c>
      <c r="C44" s="93"/>
      <c r="D44" s="983" t="s">
        <v>1104</v>
      </c>
      <c r="E44" s="984"/>
      <c r="F44" s="984"/>
      <c r="G44" s="984"/>
      <c r="H44" s="984"/>
      <c r="I44" s="985"/>
      <c r="J44" s="5"/>
      <c r="K44" s="299" t="str">
        <f>+K29</f>
        <v>Plan forestal adoptado</v>
      </c>
      <c r="L44" s="333"/>
      <c r="M44" s="301"/>
    </row>
    <row r="45" spans="2:16" ht="24.75" thickBot="1" x14ac:dyDescent="0.3">
      <c r="B45" s="47" t="s">
        <v>673</v>
      </c>
      <c r="C45" s="93"/>
      <c r="D45" s="983" t="s">
        <v>953</v>
      </c>
      <c r="E45" s="984"/>
      <c r="F45" s="984"/>
      <c r="G45" s="984"/>
      <c r="H45" s="984"/>
      <c r="I45" s="985"/>
      <c r="J45" s="5"/>
      <c r="K45" s="299" t="s">
        <v>764</v>
      </c>
      <c r="L45" s="295">
        <f>SUM(L41:L44)</f>
        <v>0</v>
      </c>
      <c r="M45" s="297" t="e">
        <f>+M46/L45</f>
        <v>#DIV/0!</v>
      </c>
    </row>
    <row r="46" spans="2:16" ht="15" customHeight="1" thickBot="1" x14ac:dyDescent="0.3">
      <c r="B46" s="1"/>
      <c r="C46" s="76"/>
      <c r="D46" s="5"/>
      <c r="E46" s="5"/>
      <c r="F46" s="5"/>
      <c r="G46" s="5"/>
      <c r="H46" s="5"/>
      <c r="I46" s="5"/>
      <c r="J46" s="5"/>
      <c r="K46" s="299"/>
      <c r="L46" s="299" t="s">
        <v>1105</v>
      </c>
      <c r="M46" s="295">
        <f>+L41*M41+L42*M42+L43*M43+L44*M44</f>
        <v>0</v>
      </c>
    </row>
    <row r="47" spans="2:16" ht="24" customHeight="1" thickBot="1" x14ac:dyDescent="0.3">
      <c r="B47" s="971" t="s">
        <v>675</v>
      </c>
      <c r="C47" s="972"/>
      <c r="D47" s="972"/>
      <c r="E47" s="973"/>
      <c r="F47" s="5"/>
      <c r="G47" s="5"/>
      <c r="H47" s="5"/>
      <c r="I47" s="5"/>
      <c r="J47" s="5"/>
      <c r="K47" s="5"/>
      <c r="L47" s="5"/>
      <c r="M47" s="5"/>
      <c r="N47" s="5"/>
    </row>
    <row r="48" spans="2:16" ht="15" customHeight="1" thickBot="1" x14ac:dyDescent="0.3">
      <c r="B48" s="974">
        <v>1</v>
      </c>
      <c r="C48" s="94"/>
      <c r="D48" s="48" t="s">
        <v>676</v>
      </c>
      <c r="E48" s="337" t="s">
        <v>2301</v>
      </c>
      <c r="F48" s="5"/>
      <c r="G48" s="5"/>
      <c r="H48" s="5"/>
      <c r="I48" s="5"/>
      <c r="J48" s="5"/>
      <c r="K48" s="5"/>
      <c r="L48" s="5"/>
      <c r="M48" s="5"/>
      <c r="N48" s="5"/>
    </row>
    <row r="49" spans="2:14" ht="15" customHeight="1" thickBot="1" x14ac:dyDescent="0.3">
      <c r="B49" s="975"/>
      <c r="C49" s="94"/>
      <c r="D49" s="40" t="s">
        <v>525</v>
      </c>
      <c r="E49" s="337" t="s">
        <v>2311</v>
      </c>
      <c r="F49" s="5"/>
      <c r="G49" s="5"/>
      <c r="H49" s="5"/>
      <c r="I49" s="5"/>
      <c r="J49" s="5"/>
      <c r="K49" s="5"/>
      <c r="L49" s="5"/>
      <c r="M49" s="5"/>
      <c r="N49" s="5"/>
    </row>
    <row r="50" spans="2:14" ht="15" customHeight="1" thickBot="1" x14ac:dyDescent="0.3">
      <c r="B50" s="975"/>
      <c r="C50" s="94"/>
      <c r="D50" s="40" t="s">
        <v>677</v>
      </c>
      <c r="E50" s="337" t="s">
        <v>2303</v>
      </c>
      <c r="F50" s="5"/>
      <c r="G50" s="5"/>
      <c r="H50" s="5"/>
      <c r="I50" s="5"/>
      <c r="J50" s="5"/>
      <c r="K50" s="5"/>
      <c r="L50" s="5"/>
      <c r="M50" s="5"/>
      <c r="N50" s="5"/>
    </row>
    <row r="51" spans="2:14" ht="15" customHeight="1" thickBot="1" x14ac:dyDescent="0.3">
      <c r="B51" s="975"/>
      <c r="C51" s="94"/>
      <c r="D51" s="40" t="s">
        <v>527</v>
      </c>
      <c r="E51" s="337" t="s">
        <v>2304</v>
      </c>
      <c r="F51" s="5"/>
      <c r="G51" s="5"/>
      <c r="H51" s="5"/>
      <c r="I51" s="5"/>
      <c r="J51" s="5"/>
      <c r="K51" s="5"/>
      <c r="L51" s="5"/>
      <c r="M51" s="5"/>
      <c r="N51" s="5"/>
    </row>
    <row r="52" spans="2:14" ht="15" customHeight="1" thickBot="1" x14ac:dyDescent="0.3">
      <c r="B52" s="975"/>
      <c r="C52" s="94"/>
      <c r="D52" s="40" t="s">
        <v>529</v>
      </c>
      <c r="E52" s="766" t="s">
        <v>2309</v>
      </c>
      <c r="F52" s="5"/>
      <c r="G52" s="5"/>
      <c r="H52" s="5"/>
      <c r="I52" s="5"/>
      <c r="J52" s="5"/>
      <c r="K52" s="5"/>
      <c r="L52" s="5"/>
    </row>
    <row r="53" spans="2:14" ht="15" customHeight="1" thickBot="1" x14ac:dyDescent="0.3">
      <c r="B53" s="975"/>
      <c r="C53" s="94"/>
      <c r="D53" s="40" t="s">
        <v>531</v>
      </c>
      <c r="E53" s="337">
        <v>5748960</v>
      </c>
      <c r="F53" s="5"/>
      <c r="G53" s="5"/>
      <c r="H53" s="5"/>
      <c r="I53" s="5"/>
      <c r="J53" s="5"/>
      <c r="K53" s="5"/>
      <c r="L53" s="5"/>
    </row>
    <row r="54" spans="2:14" ht="15" customHeight="1" thickBot="1" x14ac:dyDescent="0.3">
      <c r="B54" s="976"/>
      <c r="C54" s="2"/>
      <c r="D54" s="40" t="s">
        <v>678</v>
      </c>
      <c r="E54" s="337" t="s">
        <v>2312</v>
      </c>
      <c r="F54" s="5"/>
      <c r="G54" s="5"/>
      <c r="H54" s="5"/>
      <c r="I54" s="5"/>
      <c r="J54" s="5"/>
      <c r="K54" s="5"/>
      <c r="L54" s="5"/>
    </row>
    <row r="55" spans="2:14" ht="15" customHeight="1" thickBot="1" x14ac:dyDescent="0.3">
      <c r="B55" s="1"/>
      <c r="C55" s="76"/>
      <c r="D55" s="5"/>
      <c r="E55" s="5"/>
      <c r="F55" s="5"/>
      <c r="G55" s="5"/>
      <c r="H55" s="5"/>
      <c r="I55" s="5"/>
      <c r="J55" s="5"/>
      <c r="K55" s="5"/>
      <c r="L55" s="5"/>
    </row>
    <row r="56" spans="2:14" ht="15" customHeight="1" thickBot="1" x14ac:dyDescent="0.3">
      <c r="B56" s="971" t="s">
        <v>679</v>
      </c>
      <c r="C56" s="972"/>
      <c r="D56" s="972"/>
      <c r="E56" s="973"/>
      <c r="F56" s="5"/>
      <c r="G56" s="5"/>
      <c r="H56" s="5"/>
      <c r="I56" s="5"/>
      <c r="J56" s="5"/>
      <c r="K56" s="5"/>
      <c r="L56" s="5"/>
    </row>
    <row r="57" spans="2:14" ht="15" customHeight="1" thickBot="1" x14ac:dyDescent="0.3">
      <c r="B57" s="974">
        <v>1</v>
      </c>
      <c r="C57" s="94"/>
      <c r="D57" s="48" t="s">
        <v>676</v>
      </c>
      <c r="E57" s="219" t="s">
        <v>680</v>
      </c>
      <c r="F57" s="5"/>
      <c r="G57" s="5"/>
      <c r="H57" s="5"/>
      <c r="I57" s="5"/>
      <c r="J57" s="5"/>
      <c r="K57" s="5"/>
      <c r="L57" s="5"/>
    </row>
    <row r="58" spans="2:14" ht="15" customHeight="1" thickBot="1" x14ac:dyDescent="0.3">
      <c r="B58" s="975"/>
      <c r="C58" s="94"/>
      <c r="D58" s="40" t="s">
        <v>525</v>
      </c>
      <c r="E58" s="219" t="s">
        <v>773</v>
      </c>
      <c r="F58" s="5"/>
      <c r="G58" s="5"/>
      <c r="H58" s="5"/>
      <c r="I58" s="5"/>
      <c r="J58" s="5"/>
      <c r="K58" s="5"/>
      <c r="L58" s="5"/>
    </row>
    <row r="59" spans="2:14" ht="15" customHeight="1" thickBot="1" x14ac:dyDescent="0.3">
      <c r="B59" s="975"/>
      <c r="C59" s="94"/>
      <c r="D59" s="40" t="s">
        <v>677</v>
      </c>
      <c r="E59" s="239"/>
      <c r="F59" s="5"/>
      <c r="G59" s="5"/>
      <c r="H59" s="5"/>
      <c r="I59" s="5"/>
      <c r="J59" s="5"/>
      <c r="K59" s="5"/>
      <c r="L59" s="5"/>
    </row>
    <row r="60" spans="2:14" ht="15" customHeight="1" thickBot="1" x14ac:dyDescent="0.3">
      <c r="B60" s="975"/>
      <c r="C60" s="94"/>
      <c r="D60" s="40" t="s">
        <v>527</v>
      </c>
      <c r="E60" s="239"/>
      <c r="F60" s="5"/>
      <c r="G60" s="5"/>
      <c r="H60" s="5"/>
      <c r="I60" s="5"/>
      <c r="J60" s="5"/>
      <c r="K60" s="5"/>
      <c r="L60" s="5"/>
    </row>
    <row r="61" spans="2:14" ht="15.75" thickBot="1" x14ac:dyDescent="0.3">
      <c r="B61" s="975"/>
      <c r="C61" s="94"/>
      <c r="D61" s="40" t="s">
        <v>529</v>
      </c>
      <c r="E61" s="239"/>
      <c r="F61" s="5"/>
      <c r="G61" s="5"/>
      <c r="H61" s="5"/>
      <c r="I61" s="5"/>
      <c r="J61" s="5"/>
      <c r="K61" s="5"/>
      <c r="L61" s="5"/>
    </row>
    <row r="62" spans="2:14" ht="15.75" thickBot="1" x14ac:dyDescent="0.3">
      <c r="B62" s="975"/>
      <c r="C62" s="94"/>
      <c r="D62" s="40" t="s">
        <v>531</v>
      </c>
      <c r="E62" s="239"/>
      <c r="F62" s="5"/>
      <c r="G62" s="5"/>
      <c r="H62" s="5"/>
      <c r="I62" s="5"/>
      <c r="J62" s="5"/>
      <c r="K62" s="5"/>
      <c r="L62" s="5"/>
    </row>
    <row r="63" spans="2:14" ht="15" customHeight="1" thickBot="1" x14ac:dyDescent="0.3">
      <c r="B63" s="976"/>
      <c r="C63" s="2"/>
      <c r="D63" s="40" t="s">
        <v>678</v>
      </c>
      <c r="E63" s="239"/>
      <c r="F63" s="5"/>
      <c r="G63" s="5"/>
      <c r="H63" s="5"/>
      <c r="I63" s="5"/>
      <c r="J63" s="5"/>
      <c r="K63" s="5"/>
      <c r="L63" s="5"/>
    </row>
    <row r="64" spans="2:14" ht="15" customHeight="1" thickBot="1" x14ac:dyDescent="0.3">
      <c r="B64" s="130"/>
      <c r="C64" s="101"/>
      <c r="D64" s="130"/>
      <c r="E64" s="5"/>
      <c r="F64" s="5"/>
      <c r="G64" s="5"/>
      <c r="H64" s="5"/>
      <c r="I64" s="5"/>
      <c r="J64" s="5"/>
      <c r="K64" s="5"/>
      <c r="L64" s="5"/>
    </row>
    <row r="65" spans="2:12" ht="15" customHeight="1" x14ac:dyDescent="0.25">
      <c r="B65" s="129" t="s">
        <v>1044</v>
      </c>
      <c r="C65" s="96"/>
      <c r="D65" s="5"/>
      <c r="E65" s="5"/>
      <c r="F65" s="5"/>
      <c r="G65" s="5"/>
      <c r="H65" s="5"/>
      <c r="I65" s="5"/>
      <c r="J65" s="5"/>
      <c r="K65" s="5"/>
      <c r="L65" s="5"/>
    </row>
    <row r="66" spans="2:12" x14ac:dyDescent="0.25">
      <c r="B66" s="1021"/>
      <c r="C66" s="1022"/>
      <c r="D66" s="1023"/>
      <c r="E66" s="5"/>
      <c r="F66" s="5"/>
      <c r="G66" s="5"/>
      <c r="H66" s="5"/>
      <c r="I66" s="5"/>
      <c r="J66" s="5"/>
      <c r="K66" s="5"/>
      <c r="L66" s="5"/>
    </row>
    <row r="67" spans="2:12" x14ac:dyDescent="0.25">
      <c r="B67" s="1024"/>
      <c r="C67" s="1025"/>
      <c r="D67" s="1026"/>
      <c r="E67" s="5"/>
      <c r="F67" s="5"/>
      <c r="G67" s="5"/>
      <c r="H67" s="5"/>
      <c r="I67" s="5"/>
      <c r="J67" s="5"/>
      <c r="K67" s="5"/>
      <c r="L67" s="5"/>
    </row>
    <row r="68" spans="2:12" ht="15.75" thickBot="1" x14ac:dyDescent="0.3">
      <c r="B68" s="130"/>
      <c r="C68" s="101"/>
      <c r="D68" s="130"/>
      <c r="E68" s="5"/>
      <c r="F68" s="5"/>
      <c r="G68" s="5"/>
      <c r="H68" s="5"/>
      <c r="I68" s="5"/>
      <c r="J68" s="5"/>
      <c r="K68" s="5"/>
      <c r="L68" s="5"/>
    </row>
    <row r="69" spans="2:12" ht="15.75" thickBot="1" x14ac:dyDescent="0.3">
      <c r="B69" s="971" t="s">
        <v>682</v>
      </c>
      <c r="C69" s="972"/>
      <c r="D69" s="972"/>
      <c r="E69" s="972"/>
      <c r="F69" s="973"/>
      <c r="G69" s="5"/>
      <c r="H69" s="5"/>
      <c r="I69" s="5"/>
      <c r="J69" s="5"/>
      <c r="K69" s="5"/>
      <c r="L69" s="5"/>
    </row>
    <row r="70" spans="2:12" ht="24.75" thickBot="1" x14ac:dyDescent="0.3">
      <c r="B70" s="47" t="s">
        <v>683</v>
      </c>
      <c r="C70" s="40" t="s">
        <v>684</v>
      </c>
      <c r="D70" s="40" t="s">
        <v>685</v>
      </c>
      <c r="E70" s="40" t="s">
        <v>686</v>
      </c>
      <c r="F70" s="5"/>
      <c r="G70" s="5"/>
      <c r="H70" s="5"/>
      <c r="I70" s="5"/>
      <c r="J70" s="5"/>
      <c r="K70" s="5"/>
      <c r="L70" s="5"/>
    </row>
    <row r="71" spans="2:12" ht="72.75" thickBot="1" x14ac:dyDescent="0.3">
      <c r="B71" s="49">
        <v>42401</v>
      </c>
      <c r="C71" s="40">
        <v>0.01</v>
      </c>
      <c r="D71" s="50" t="s">
        <v>1106</v>
      </c>
      <c r="E71" s="40"/>
      <c r="F71" s="5"/>
      <c r="G71" s="5"/>
      <c r="H71" s="5"/>
      <c r="I71" s="5"/>
      <c r="J71" s="5"/>
      <c r="K71" s="5"/>
    </row>
    <row r="72" spans="2:12" x14ac:dyDescent="0.25">
      <c r="B72" s="1"/>
      <c r="C72" s="76"/>
      <c r="D72" s="5"/>
      <c r="E72" s="5"/>
      <c r="F72" s="5"/>
      <c r="G72" s="5"/>
      <c r="H72" s="5"/>
      <c r="I72" s="5"/>
      <c r="J72" s="5"/>
      <c r="K72" s="5"/>
    </row>
    <row r="73" spans="2:12" ht="15.75" thickBot="1" x14ac:dyDescent="0.3">
      <c r="B73" s="5"/>
      <c r="D73" s="5"/>
      <c r="E73" s="5"/>
      <c r="F73" s="5"/>
      <c r="G73" s="5"/>
      <c r="H73" s="5"/>
      <c r="I73" s="5"/>
      <c r="J73" s="5"/>
      <c r="K73" s="5"/>
      <c r="L73" s="5"/>
    </row>
    <row r="74" spans="2:12" ht="15.75" thickBot="1" x14ac:dyDescent="0.3">
      <c r="B74" s="971" t="s">
        <v>688</v>
      </c>
      <c r="C74" s="972"/>
      <c r="D74" s="973"/>
      <c r="E74" s="5"/>
      <c r="F74" s="5"/>
      <c r="G74" s="5"/>
      <c r="H74" s="5"/>
      <c r="I74" s="5"/>
      <c r="J74" s="5"/>
      <c r="K74" s="5"/>
      <c r="L74" s="5"/>
    </row>
    <row r="75" spans="2:12" ht="60.75" thickBot="1" x14ac:dyDescent="0.3">
      <c r="B75" s="47" t="s">
        <v>689</v>
      </c>
      <c r="C75" s="2"/>
      <c r="D75" s="40" t="s">
        <v>1107</v>
      </c>
      <c r="E75" s="5"/>
      <c r="F75" s="5"/>
      <c r="G75" s="5"/>
      <c r="H75" s="5"/>
      <c r="I75" s="5"/>
      <c r="J75" s="5"/>
      <c r="K75" s="5"/>
      <c r="L75" s="5"/>
    </row>
    <row r="76" spans="2:12" x14ac:dyDescent="0.25">
      <c r="B76" s="974" t="s">
        <v>691</v>
      </c>
      <c r="C76" s="94"/>
      <c r="D76" s="53" t="s">
        <v>692</v>
      </c>
      <c r="E76" s="5"/>
      <c r="F76" s="5"/>
      <c r="G76" s="5"/>
      <c r="H76" s="5"/>
      <c r="I76" s="5"/>
      <c r="J76" s="5"/>
      <c r="K76" s="5"/>
      <c r="L76" s="5"/>
    </row>
    <row r="77" spans="2:12" ht="132" x14ac:dyDescent="0.25">
      <c r="B77" s="975"/>
      <c r="C77" s="94"/>
      <c r="D77" s="46" t="s">
        <v>1108</v>
      </c>
      <c r="E77" s="5"/>
      <c r="F77" s="5"/>
      <c r="G77" s="5"/>
      <c r="H77" s="5"/>
      <c r="I77" s="5"/>
      <c r="J77" s="5"/>
      <c r="K77" s="5"/>
      <c r="L77" s="5"/>
    </row>
    <row r="78" spans="2:12" x14ac:dyDescent="0.25">
      <c r="B78" s="975"/>
      <c r="C78" s="94"/>
      <c r="D78" s="53" t="s">
        <v>695</v>
      </c>
      <c r="E78" s="5"/>
      <c r="F78" s="5"/>
      <c r="G78" s="5"/>
      <c r="H78" s="5"/>
      <c r="I78" s="5"/>
      <c r="J78" s="5"/>
      <c r="K78" s="5"/>
      <c r="L78" s="5"/>
    </row>
    <row r="79" spans="2:12" x14ac:dyDescent="0.25">
      <c r="B79" s="975"/>
      <c r="C79" s="94"/>
      <c r="D79" s="61" t="s">
        <v>1109</v>
      </c>
      <c r="E79" s="5"/>
      <c r="F79" s="5"/>
      <c r="G79" s="5"/>
      <c r="H79" s="5"/>
      <c r="I79" s="5"/>
      <c r="J79" s="5"/>
      <c r="K79" s="5"/>
      <c r="L79" s="5"/>
    </row>
    <row r="80" spans="2:12" x14ac:dyDescent="0.25">
      <c r="B80" s="975"/>
      <c r="C80" s="94"/>
      <c r="D80" s="61" t="s">
        <v>1110</v>
      </c>
      <c r="E80" s="5"/>
      <c r="F80" s="5"/>
      <c r="G80" s="5"/>
      <c r="H80" s="5"/>
      <c r="I80" s="5"/>
      <c r="J80" s="5"/>
      <c r="K80" s="5"/>
      <c r="L80" s="5"/>
    </row>
    <row r="81" spans="2:12" x14ac:dyDescent="0.25">
      <c r="B81" s="975"/>
      <c r="C81" s="94"/>
      <c r="D81" s="61" t="s">
        <v>1111</v>
      </c>
      <c r="E81" s="5"/>
      <c r="F81" s="5"/>
      <c r="G81" s="5"/>
      <c r="H81" s="5"/>
      <c r="I81" s="5"/>
      <c r="J81" s="5"/>
      <c r="K81" s="5"/>
      <c r="L81" s="5"/>
    </row>
    <row r="82" spans="2:12" x14ac:dyDescent="0.25">
      <c r="B82" s="975"/>
      <c r="C82" s="94"/>
      <c r="D82" s="61" t="s">
        <v>1112</v>
      </c>
      <c r="E82" s="5"/>
      <c r="F82" s="5"/>
      <c r="G82" s="5"/>
      <c r="H82" s="5"/>
      <c r="I82" s="5"/>
      <c r="J82" s="5"/>
      <c r="K82" s="5"/>
      <c r="L82" s="5"/>
    </row>
    <row r="83" spans="2:12" x14ac:dyDescent="0.25">
      <c r="B83" s="975"/>
      <c r="C83" s="94"/>
      <c r="D83" s="53" t="s">
        <v>923</v>
      </c>
      <c r="E83" s="5"/>
      <c r="F83" s="5"/>
      <c r="G83" s="5"/>
      <c r="H83" s="5"/>
      <c r="I83" s="5"/>
      <c r="J83" s="5"/>
      <c r="K83" s="5"/>
      <c r="L83" s="5"/>
    </row>
    <row r="84" spans="2:12" ht="36.75" thickBot="1" x14ac:dyDescent="0.3">
      <c r="B84" s="976"/>
      <c r="C84" s="2"/>
      <c r="D84" s="40" t="s">
        <v>1022</v>
      </c>
      <c r="E84" s="5"/>
      <c r="F84" s="5"/>
      <c r="G84" s="5"/>
      <c r="H84" s="5"/>
      <c r="I84" s="5"/>
      <c r="J84" s="5"/>
      <c r="K84" s="5"/>
      <c r="L84" s="5"/>
    </row>
    <row r="85" spans="2:12" x14ac:dyDescent="0.25">
      <c r="B85" s="974" t="s">
        <v>704</v>
      </c>
      <c r="C85" s="99"/>
      <c r="D85" s="974"/>
      <c r="E85" s="5"/>
      <c r="F85" s="5"/>
      <c r="G85" s="5"/>
      <c r="H85" s="5"/>
      <c r="I85" s="5"/>
      <c r="J85" s="5"/>
      <c r="K85" s="5"/>
      <c r="L85" s="5"/>
    </row>
    <row r="86" spans="2:12" ht="15.75" thickBot="1" x14ac:dyDescent="0.3">
      <c r="B86" s="976"/>
      <c r="C86" s="100"/>
      <c r="D86" s="976"/>
      <c r="E86" s="5"/>
      <c r="F86" s="5"/>
      <c r="G86" s="5"/>
      <c r="H86" s="5"/>
      <c r="I86" s="5"/>
      <c r="J86" s="5"/>
      <c r="K86" s="5"/>
      <c r="L86" s="5"/>
    </row>
    <row r="87" spans="2:12" ht="132" x14ac:dyDescent="0.25">
      <c r="B87" s="974" t="s">
        <v>705</v>
      </c>
      <c r="C87" s="94"/>
      <c r="D87" s="46" t="s">
        <v>1113</v>
      </c>
      <c r="E87" s="5"/>
      <c r="F87" s="5"/>
      <c r="G87" s="5"/>
      <c r="H87" s="5"/>
      <c r="I87" s="5"/>
      <c r="J87" s="5"/>
      <c r="K87" s="5"/>
      <c r="L87" s="5"/>
    </row>
    <row r="88" spans="2:12" ht="120.75" thickBot="1" x14ac:dyDescent="0.3">
      <c r="B88" s="976"/>
      <c r="C88" s="2"/>
      <c r="D88" s="40" t="s">
        <v>1114</v>
      </c>
      <c r="E88" s="5"/>
      <c r="F88" s="5"/>
      <c r="G88" s="5"/>
      <c r="H88" s="5"/>
      <c r="I88" s="5"/>
      <c r="J88" s="5"/>
      <c r="K88" s="5"/>
      <c r="L88" s="5"/>
    </row>
    <row r="89" spans="2:12" ht="24" x14ac:dyDescent="0.25">
      <c r="B89" s="974" t="s">
        <v>722</v>
      </c>
      <c r="C89" s="94"/>
      <c r="D89" s="53" t="s">
        <v>20</v>
      </c>
      <c r="E89" s="5"/>
      <c r="F89" s="5"/>
      <c r="G89" s="5"/>
      <c r="H89" s="5"/>
      <c r="I89" s="5"/>
      <c r="J89" s="5"/>
      <c r="K89" s="5"/>
      <c r="L89" s="5"/>
    </row>
    <row r="90" spans="2:12" x14ac:dyDescent="0.25">
      <c r="B90" s="975"/>
      <c r="C90" s="94"/>
      <c r="D90" s="16"/>
      <c r="E90" s="5"/>
      <c r="F90" s="5"/>
      <c r="G90" s="5"/>
      <c r="H90" s="5"/>
      <c r="I90" s="5"/>
      <c r="J90" s="5"/>
      <c r="K90" s="5"/>
      <c r="L90" s="5"/>
    </row>
    <row r="91" spans="2:12" x14ac:dyDescent="0.25">
      <c r="B91" s="975"/>
      <c r="C91" s="94"/>
      <c r="D91" s="46" t="s">
        <v>723</v>
      </c>
      <c r="E91" s="5"/>
      <c r="F91" s="5"/>
      <c r="G91" s="5"/>
      <c r="H91" s="5"/>
      <c r="I91" s="5"/>
      <c r="J91" s="5"/>
      <c r="K91" s="5"/>
      <c r="L91" s="5"/>
    </row>
    <row r="92" spans="2:12" ht="37.5" x14ac:dyDescent="0.25">
      <c r="B92" s="975"/>
      <c r="C92" s="94"/>
      <c r="D92" s="46" t="s">
        <v>1115</v>
      </c>
      <c r="E92" s="5"/>
      <c r="F92" s="5"/>
      <c r="G92" s="5"/>
      <c r="H92" s="5"/>
      <c r="I92" s="5"/>
      <c r="J92" s="5"/>
      <c r="K92" s="5"/>
      <c r="L92" s="5"/>
    </row>
    <row r="93" spans="2:12" ht="37.5" x14ac:dyDescent="0.25">
      <c r="B93" s="975"/>
      <c r="C93" s="94"/>
      <c r="D93" s="46" t="s">
        <v>1116</v>
      </c>
      <c r="E93" s="5"/>
      <c r="F93" s="5"/>
      <c r="G93" s="5"/>
      <c r="H93" s="5"/>
      <c r="I93" s="5"/>
      <c r="J93" s="5"/>
      <c r="K93" s="5"/>
      <c r="L93" s="5"/>
    </row>
    <row r="94" spans="2:12" ht="38.25" thickBot="1" x14ac:dyDescent="0.3">
      <c r="B94" s="976"/>
      <c r="C94" s="2"/>
      <c r="D94" s="40" t="s">
        <v>1117</v>
      </c>
      <c r="E94" s="5"/>
      <c r="F94" s="5"/>
      <c r="G94" s="5"/>
      <c r="H94" s="5"/>
      <c r="I94" s="5"/>
      <c r="J94" s="5"/>
      <c r="K94" s="5"/>
      <c r="L94" s="5"/>
    </row>
    <row r="95" spans="2:12" x14ac:dyDescent="0.25">
      <c r="B95" s="5"/>
      <c r="D95" s="5"/>
      <c r="E95" s="5"/>
      <c r="F95" s="5"/>
      <c r="G95" s="5"/>
      <c r="H95" s="5"/>
      <c r="I95" s="5"/>
      <c r="J95" s="5"/>
      <c r="K95" s="5"/>
      <c r="L95" s="5"/>
    </row>
    <row r="96" spans="2:12" x14ac:dyDescent="0.25">
      <c r="B96" s="5"/>
      <c r="D96" s="5"/>
      <c r="E96" s="5"/>
      <c r="F96" s="5"/>
      <c r="G96" s="5"/>
      <c r="H96" s="5"/>
      <c r="I96" s="5"/>
      <c r="J96" s="5"/>
      <c r="K96" s="5"/>
      <c r="L96" s="5"/>
    </row>
    <row r="97" spans="2:12" x14ac:dyDescent="0.25">
      <c r="B97" s="5"/>
      <c r="D97" s="5"/>
      <c r="E97" s="5"/>
      <c r="F97" s="5"/>
      <c r="G97" s="5"/>
      <c r="H97" s="5"/>
      <c r="I97" s="5"/>
      <c r="J97" s="5"/>
      <c r="K97" s="5"/>
      <c r="L97" s="5"/>
    </row>
    <row r="98" spans="2:12" x14ac:dyDescent="0.25">
      <c r="B98" s="5"/>
      <c r="D98" s="5"/>
      <c r="E98" s="5"/>
      <c r="F98" s="5"/>
      <c r="G98" s="5"/>
      <c r="H98" s="5"/>
      <c r="I98" s="5"/>
      <c r="J98" s="5"/>
      <c r="K98" s="5"/>
      <c r="L98" s="5"/>
    </row>
    <row r="99" spans="2:12" x14ac:dyDescent="0.25">
      <c r="B99" s="5"/>
      <c r="D99" s="5"/>
      <c r="E99" s="5"/>
      <c r="F99" s="5"/>
      <c r="G99" s="5"/>
      <c r="H99" s="5"/>
      <c r="I99" s="5"/>
      <c r="J99" s="5"/>
      <c r="K99" s="5"/>
      <c r="L99" s="5"/>
    </row>
    <row r="100" spans="2:12" x14ac:dyDescent="0.25">
      <c r="B100" s="5"/>
      <c r="D100" s="5"/>
      <c r="E100" s="5"/>
      <c r="F100" s="5"/>
      <c r="G100" s="5"/>
      <c r="H100" s="5"/>
      <c r="I100" s="5"/>
      <c r="J100" s="5"/>
      <c r="K100" s="5"/>
      <c r="L100" s="5"/>
    </row>
    <row r="101" spans="2:12" x14ac:dyDescent="0.25">
      <c r="B101" s="5"/>
      <c r="D101" s="5"/>
      <c r="E101" s="5"/>
      <c r="F101" s="5"/>
      <c r="G101" s="5"/>
      <c r="H101" s="5"/>
      <c r="I101" s="5"/>
      <c r="J101" s="5"/>
      <c r="K101" s="5"/>
      <c r="L101" s="5"/>
    </row>
    <row r="102" spans="2:12" x14ac:dyDescent="0.25">
      <c r="B102" s="5"/>
      <c r="D102" s="5"/>
      <c r="E102" s="5"/>
      <c r="F102" s="5"/>
      <c r="G102" s="5"/>
      <c r="H102" s="5"/>
      <c r="I102" s="5"/>
      <c r="J102" s="5"/>
      <c r="K102" s="5"/>
      <c r="L102" s="5"/>
    </row>
    <row r="103" spans="2:12" x14ac:dyDescent="0.25">
      <c r="B103" s="5"/>
      <c r="D103" s="5"/>
      <c r="E103" s="5"/>
      <c r="F103" s="5"/>
      <c r="G103" s="5"/>
      <c r="H103" s="5"/>
      <c r="I103" s="5"/>
      <c r="J103" s="5"/>
      <c r="K103" s="5"/>
      <c r="L103" s="5"/>
    </row>
    <row r="104" spans="2:12" x14ac:dyDescent="0.25">
      <c r="B104" s="5"/>
      <c r="D104" s="5"/>
      <c r="E104" s="5"/>
      <c r="F104" s="5"/>
      <c r="G104" s="5"/>
      <c r="H104" s="5"/>
      <c r="I104" s="5"/>
      <c r="J104" s="5"/>
      <c r="K104" s="5"/>
      <c r="L104" s="5"/>
    </row>
    <row r="105" spans="2:12" x14ac:dyDescent="0.25">
      <c r="B105" s="5"/>
      <c r="D105" s="5"/>
      <c r="E105" s="5"/>
      <c r="F105" s="5"/>
      <c r="G105" s="5"/>
      <c r="H105" s="5"/>
      <c r="I105" s="5"/>
      <c r="J105" s="5"/>
      <c r="K105" s="5"/>
      <c r="L105" s="5"/>
    </row>
    <row r="106" spans="2:12" x14ac:dyDescent="0.25">
      <c r="B106" s="5"/>
      <c r="D106" s="5"/>
      <c r="E106" s="5"/>
      <c r="F106" s="5"/>
      <c r="G106" s="5"/>
      <c r="H106" s="5"/>
      <c r="I106" s="5"/>
      <c r="J106" s="5"/>
      <c r="K106" s="5"/>
      <c r="L106" s="5"/>
    </row>
    <row r="107" spans="2:12" x14ac:dyDescent="0.25">
      <c r="B107" s="5"/>
      <c r="D107" s="5"/>
      <c r="E107" s="5"/>
      <c r="F107" s="5"/>
      <c r="G107" s="5"/>
      <c r="H107" s="5"/>
      <c r="I107" s="5"/>
      <c r="J107" s="5"/>
      <c r="K107" s="5"/>
      <c r="L107" s="5"/>
    </row>
    <row r="108" spans="2:12" x14ac:dyDescent="0.25">
      <c r="B108" s="5"/>
      <c r="D108" s="5"/>
      <c r="E108" s="5"/>
      <c r="F108" s="5"/>
      <c r="G108" s="5"/>
      <c r="H108" s="5"/>
      <c r="I108" s="5"/>
      <c r="J108" s="5"/>
      <c r="K108" s="5"/>
      <c r="L108" s="5"/>
    </row>
    <row r="109" spans="2:12" x14ac:dyDescent="0.25">
      <c r="B109" s="5"/>
      <c r="D109" s="5"/>
      <c r="E109" s="5"/>
      <c r="F109" s="5"/>
      <c r="G109" s="5"/>
      <c r="H109" s="5"/>
      <c r="I109" s="5"/>
      <c r="J109" s="5"/>
      <c r="K109" s="5"/>
      <c r="L109" s="5"/>
    </row>
    <row r="110" spans="2:12" x14ac:dyDescent="0.25">
      <c r="B110" s="5"/>
      <c r="D110" s="5"/>
      <c r="E110" s="5"/>
      <c r="F110" s="5"/>
      <c r="G110" s="5"/>
      <c r="H110" s="5"/>
      <c r="I110" s="5"/>
      <c r="J110" s="5"/>
      <c r="K110" s="5"/>
      <c r="L110" s="5"/>
    </row>
    <row r="111" spans="2:12" x14ac:dyDescent="0.25">
      <c r="B111" s="5"/>
      <c r="D111" s="5"/>
      <c r="E111" s="5"/>
      <c r="F111" s="5"/>
      <c r="G111" s="5"/>
      <c r="H111" s="5"/>
      <c r="I111" s="5"/>
      <c r="J111" s="5"/>
      <c r="K111" s="5"/>
      <c r="L111" s="5"/>
    </row>
    <row r="112" spans="2:12" x14ac:dyDescent="0.25">
      <c r="B112" s="5"/>
      <c r="D112" s="5"/>
      <c r="E112" s="5"/>
      <c r="F112" s="5"/>
      <c r="G112" s="5"/>
      <c r="H112" s="5"/>
      <c r="I112" s="5"/>
      <c r="J112" s="5"/>
      <c r="K112" s="5"/>
      <c r="L112" s="5"/>
    </row>
    <row r="113" spans="2:12" x14ac:dyDescent="0.25">
      <c r="B113" s="5"/>
      <c r="D113" s="5"/>
      <c r="E113" s="5"/>
      <c r="F113" s="5"/>
      <c r="G113" s="5"/>
      <c r="H113" s="5"/>
      <c r="I113" s="5"/>
      <c r="J113" s="5"/>
      <c r="K113" s="5"/>
      <c r="L113" s="5"/>
    </row>
    <row r="114" spans="2:12" x14ac:dyDescent="0.25">
      <c r="B114" s="5"/>
      <c r="D114" s="5"/>
      <c r="E114" s="5"/>
      <c r="F114" s="5"/>
      <c r="G114" s="5"/>
      <c r="H114" s="5"/>
      <c r="I114" s="5"/>
      <c r="J114" s="5"/>
      <c r="K114" s="5"/>
      <c r="L114" s="5"/>
    </row>
    <row r="115" spans="2:12" x14ac:dyDescent="0.25">
      <c r="B115" s="5"/>
      <c r="D115" s="5"/>
      <c r="E115" s="5"/>
      <c r="F115" s="5"/>
      <c r="G115" s="5"/>
      <c r="H115" s="5"/>
      <c r="I115" s="5"/>
      <c r="J115" s="5"/>
      <c r="K115" s="5"/>
      <c r="L115" s="5"/>
    </row>
    <row r="116" spans="2:12" x14ac:dyDescent="0.25">
      <c r="B116" s="5"/>
      <c r="D116" s="5"/>
      <c r="E116" s="5"/>
      <c r="F116" s="5"/>
      <c r="G116" s="5"/>
      <c r="H116" s="5"/>
      <c r="I116" s="5"/>
      <c r="J116" s="5"/>
      <c r="K116" s="5"/>
      <c r="L116" s="5"/>
    </row>
    <row r="117" spans="2:12" x14ac:dyDescent="0.25">
      <c r="B117" s="5"/>
      <c r="D117" s="5"/>
      <c r="E117" s="5"/>
      <c r="F117" s="5"/>
      <c r="G117" s="5"/>
      <c r="H117" s="5"/>
      <c r="I117" s="5"/>
      <c r="J117" s="5"/>
      <c r="K117" s="5"/>
      <c r="L117" s="5"/>
    </row>
    <row r="118" spans="2:12" x14ac:dyDescent="0.25">
      <c r="B118" s="5"/>
      <c r="D118" s="5"/>
      <c r="E118" s="5"/>
      <c r="F118" s="5"/>
      <c r="G118" s="5"/>
      <c r="H118" s="5"/>
      <c r="I118" s="5"/>
      <c r="J118" s="5"/>
      <c r="K118" s="5"/>
      <c r="L118" s="5"/>
    </row>
    <row r="119" spans="2:12" x14ac:dyDescent="0.25">
      <c r="B119" s="5"/>
      <c r="D119" s="5"/>
      <c r="E119" s="5"/>
      <c r="F119" s="5"/>
      <c r="G119" s="5"/>
      <c r="H119" s="5"/>
      <c r="I119" s="5"/>
      <c r="J119" s="5"/>
      <c r="K119" s="5"/>
      <c r="L119" s="5"/>
    </row>
    <row r="120" spans="2:12" x14ac:dyDescent="0.25">
      <c r="B120" s="5"/>
      <c r="D120" s="5"/>
      <c r="E120" s="5"/>
      <c r="F120" s="5"/>
      <c r="G120" s="5"/>
      <c r="H120" s="5"/>
      <c r="I120" s="5"/>
      <c r="J120" s="5"/>
      <c r="K120" s="5"/>
      <c r="L120" s="5"/>
    </row>
    <row r="121" spans="2:12" x14ac:dyDescent="0.25">
      <c r="B121" s="5"/>
      <c r="D121" s="5"/>
      <c r="E121" s="5"/>
      <c r="F121" s="5"/>
      <c r="G121" s="5"/>
      <c r="H121" s="5"/>
      <c r="I121" s="5"/>
      <c r="J121" s="5"/>
      <c r="K121" s="5"/>
      <c r="L121" s="5"/>
    </row>
    <row r="122" spans="2:12" x14ac:dyDescent="0.25">
      <c r="B122" s="5"/>
      <c r="D122" s="5"/>
      <c r="E122" s="5"/>
      <c r="F122" s="5"/>
      <c r="G122" s="5"/>
      <c r="H122" s="5"/>
      <c r="I122" s="5"/>
      <c r="J122" s="5"/>
      <c r="K122" s="5"/>
      <c r="L122" s="5"/>
    </row>
    <row r="123" spans="2:12" x14ac:dyDescent="0.25">
      <c r="B123" s="5"/>
      <c r="D123" s="5"/>
      <c r="E123" s="5"/>
      <c r="F123" s="5"/>
      <c r="G123" s="5"/>
      <c r="H123" s="5"/>
      <c r="I123" s="5"/>
      <c r="J123" s="5"/>
      <c r="K123" s="5"/>
      <c r="L123" s="5"/>
    </row>
    <row r="124" spans="2:12" x14ac:dyDescent="0.25">
      <c r="B124" s="5"/>
      <c r="D124" s="5"/>
      <c r="E124" s="5"/>
      <c r="F124" s="5"/>
      <c r="G124" s="5"/>
      <c r="H124" s="5"/>
      <c r="I124" s="5"/>
      <c r="J124" s="5"/>
      <c r="K124" s="5"/>
      <c r="L124" s="5"/>
    </row>
    <row r="125" spans="2:12" x14ac:dyDescent="0.25">
      <c r="B125" s="5"/>
      <c r="D125" s="5"/>
      <c r="E125" s="5"/>
      <c r="F125" s="5"/>
      <c r="G125" s="5"/>
      <c r="H125" s="5"/>
      <c r="I125" s="5"/>
      <c r="J125" s="5"/>
      <c r="K125" s="5"/>
      <c r="L125" s="5"/>
    </row>
    <row r="126" spans="2:12" x14ac:dyDescent="0.25">
      <c r="B126" s="5"/>
      <c r="D126" s="5"/>
      <c r="E126" s="5"/>
      <c r="F126" s="5"/>
      <c r="G126" s="5"/>
      <c r="H126" s="5"/>
      <c r="I126" s="5"/>
      <c r="J126" s="5"/>
      <c r="K126" s="5"/>
      <c r="L126" s="5"/>
    </row>
    <row r="127" spans="2:12" x14ac:dyDescent="0.25">
      <c r="B127" s="5"/>
      <c r="D127" s="5"/>
      <c r="E127" s="5"/>
      <c r="F127" s="5"/>
      <c r="G127" s="5"/>
      <c r="H127" s="5"/>
      <c r="I127" s="5"/>
      <c r="J127" s="5"/>
      <c r="K127" s="5"/>
      <c r="L127" s="5"/>
    </row>
    <row r="128" spans="2:12" x14ac:dyDescent="0.25">
      <c r="B128" s="5"/>
      <c r="D128" s="5"/>
      <c r="E128" s="5"/>
      <c r="F128" s="5"/>
      <c r="G128" s="5"/>
      <c r="H128" s="5"/>
      <c r="I128" s="5"/>
      <c r="J128" s="5"/>
      <c r="K128" s="5"/>
      <c r="L128" s="5"/>
    </row>
    <row r="129" spans="2:12" x14ac:dyDescent="0.25">
      <c r="B129" s="5"/>
      <c r="D129" s="5"/>
      <c r="E129" s="5"/>
      <c r="F129" s="5"/>
      <c r="G129" s="5"/>
      <c r="H129" s="5"/>
      <c r="I129" s="5"/>
      <c r="J129" s="5"/>
      <c r="K129" s="5"/>
      <c r="L129" s="5"/>
    </row>
    <row r="130" spans="2:12" x14ac:dyDescent="0.25">
      <c r="B130" s="5"/>
      <c r="D130" s="5"/>
      <c r="E130" s="5"/>
      <c r="F130" s="5"/>
      <c r="G130" s="5"/>
      <c r="H130" s="5"/>
      <c r="I130" s="5"/>
      <c r="J130" s="5"/>
      <c r="K130" s="5"/>
      <c r="L130" s="5"/>
    </row>
    <row r="131" spans="2:12" x14ac:dyDescent="0.25">
      <c r="B131" s="5"/>
      <c r="D131" s="5"/>
      <c r="E131" s="5"/>
      <c r="F131" s="5"/>
      <c r="G131" s="5"/>
      <c r="H131" s="5"/>
      <c r="I131" s="5"/>
      <c r="J131" s="5"/>
      <c r="K131" s="5"/>
      <c r="L131" s="5"/>
    </row>
    <row r="132" spans="2:12" x14ac:dyDescent="0.25">
      <c r="B132" s="5"/>
      <c r="D132" s="5"/>
      <c r="E132" s="5"/>
      <c r="F132" s="5"/>
      <c r="G132" s="5"/>
      <c r="H132" s="5"/>
      <c r="I132" s="5"/>
      <c r="J132" s="5"/>
      <c r="K132" s="5"/>
      <c r="L132" s="5"/>
    </row>
    <row r="133" spans="2:12" x14ac:dyDescent="0.25">
      <c r="B133" s="5"/>
      <c r="D133" s="5"/>
      <c r="E133" s="5"/>
      <c r="F133" s="5"/>
      <c r="G133" s="5"/>
      <c r="H133" s="5"/>
      <c r="I133" s="5"/>
      <c r="J133" s="5"/>
      <c r="K133" s="5"/>
      <c r="L133" s="5"/>
    </row>
    <row r="134" spans="2:12" x14ac:dyDescent="0.25">
      <c r="B134" s="5"/>
      <c r="D134" s="5"/>
      <c r="E134" s="5"/>
      <c r="F134" s="5"/>
      <c r="G134" s="5"/>
      <c r="H134" s="5"/>
      <c r="I134" s="5"/>
      <c r="J134" s="5"/>
      <c r="K134" s="5"/>
      <c r="L134" s="5"/>
    </row>
    <row r="135" spans="2:12" x14ac:dyDescent="0.25">
      <c r="B135" s="5"/>
      <c r="D135" s="5"/>
      <c r="E135" s="5"/>
      <c r="F135" s="5"/>
      <c r="G135" s="5"/>
      <c r="H135" s="5"/>
      <c r="I135" s="5"/>
      <c r="J135" s="5"/>
      <c r="K135" s="5"/>
      <c r="L135" s="5"/>
    </row>
    <row r="136" spans="2:12" x14ac:dyDescent="0.25">
      <c r="B136" s="5"/>
      <c r="D136" s="5"/>
      <c r="E136" s="5"/>
      <c r="F136" s="5"/>
      <c r="G136" s="5"/>
      <c r="H136" s="5"/>
      <c r="I136" s="5"/>
      <c r="J136" s="5"/>
      <c r="K136" s="5"/>
      <c r="L136" s="5"/>
    </row>
    <row r="137" spans="2:12" x14ac:dyDescent="0.25">
      <c r="B137" s="5"/>
      <c r="D137" s="5"/>
      <c r="E137" s="5"/>
      <c r="F137" s="5"/>
      <c r="G137" s="5"/>
      <c r="H137" s="5"/>
      <c r="I137" s="5"/>
      <c r="J137" s="5"/>
      <c r="K137" s="5"/>
      <c r="L137" s="5"/>
    </row>
    <row r="138" spans="2:12" x14ac:dyDescent="0.25">
      <c r="B138" s="5"/>
      <c r="D138" s="5"/>
      <c r="E138" s="5"/>
      <c r="F138" s="5"/>
      <c r="G138" s="5"/>
      <c r="H138" s="5"/>
      <c r="I138" s="5"/>
      <c r="J138" s="5"/>
      <c r="K138" s="5"/>
      <c r="L138" s="5"/>
    </row>
    <row r="139" spans="2:12" x14ac:dyDescent="0.25">
      <c r="B139" s="5"/>
      <c r="D139" s="5"/>
      <c r="E139" s="5"/>
      <c r="F139" s="5"/>
      <c r="G139" s="5"/>
      <c r="H139" s="5"/>
      <c r="I139" s="5"/>
      <c r="J139" s="5"/>
      <c r="K139" s="5"/>
      <c r="L139" s="5"/>
    </row>
    <row r="140" spans="2:12" x14ac:dyDescent="0.25">
      <c r="B140" s="5"/>
      <c r="D140" s="5"/>
      <c r="E140" s="5"/>
      <c r="F140" s="5"/>
      <c r="G140" s="5"/>
      <c r="H140" s="5"/>
      <c r="I140" s="5"/>
      <c r="J140" s="5"/>
      <c r="K140" s="5"/>
      <c r="L140" s="5"/>
    </row>
    <row r="141" spans="2:12" x14ac:dyDescent="0.25">
      <c r="B141" s="5"/>
      <c r="D141" s="5"/>
      <c r="E141" s="5"/>
      <c r="F141" s="5"/>
      <c r="G141" s="5"/>
      <c r="H141" s="5"/>
      <c r="I141" s="5"/>
      <c r="J141" s="5"/>
      <c r="K141" s="5"/>
      <c r="L141" s="5"/>
    </row>
    <row r="142" spans="2:12" x14ac:dyDescent="0.25">
      <c r="B142" s="5"/>
      <c r="D142" s="5"/>
      <c r="E142" s="5"/>
      <c r="F142" s="5"/>
      <c r="G142" s="5"/>
      <c r="H142" s="5"/>
      <c r="I142" s="5"/>
      <c r="J142" s="5"/>
      <c r="K142" s="5"/>
      <c r="L142" s="5"/>
    </row>
    <row r="143" spans="2:12" x14ac:dyDescent="0.25">
      <c r="B143" s="5"/>
      <c r="D143" s="5"/>
      <c r="E143" s="5"/>
      <c r="F143" s="5"/>
      <c r="G143" s="5"/>
      <c r="H143" s="5"/>
      <c r="I143" s="5"/>
      <c r="J143" s="5"/>
      <c r="K143" s="5"/>
      <c r="L143" s="5"/>
    </row>
    <row r="144" spans="2:12" x14ac:dyDescent="0.25">
      <c r="B144" s="5"/>
      <c r="D144" s="5"/>
      <c r="E144" s="5"/>
      <c r="F144" s="5"/>
      <c r="G144" s="5"/>
      <c r="H144" s="5"/>
      <c r="I144" s="5"/>
      <c r="J144" s="5"/>
      <c r="K144" s="5"/>
      <c r="L144" s="5"/>
    </row>
    <row r="145" spans="2:12" x14ac:dyDescent="0.25">
      <c r="B145" s="5"/>
      <c r="D145" s="5"/>
      <c r="E145" s="5"/>
      <c r="F145" s="5"/>
      <c r="G145" s="5"/>
      <c r="H145" s="5"/>
      <c r="I145" s="5"/>
      <c r="J145" s="5"/>
      <c r="K145" s="5"/>
      <c r="L145" s="5"/>
    </row>
    <row r="146" spans="2:12" x14ac:dyDescent="0.25">
      <c r="B146" s="5"/>
      <c r="D146" s="5"/>
      <c r="E146" s="5"/>
      <c r="F146" s="5"/>
      <c r="G146" s="5"/>
      <c r="H146" s="5"/>
      <c r="I146" s="5"/>
      <c r="J146" s="5"/>
      <c r="K146" s="5"/>
      <c r="L146" s="5"/>
    </row>
    <row r="147" spans="2:12" x14ac:dyDescent="0.25">
      <c r="B147" s="5"/>
      <c r="D147" s="5"/>
      <c r="E147" s="5"/>
      <c r="F147" s="5"/>
      <c r="G147" s="5"/>
      <c r="H147" s="5"/>
      <c r="I147" s="5"/>
      <c r="J147" s="5"/>
      <c r="K147" s="5"/>
      <c r="L147" s="5"/>
    </row>
    <row r="148" spans="2:12" x14ac:dyDescent="0.25">
      <c r="B148" s="5"/>
      <c r="D148" s="5"/>
      <c r="E148" s="5"/>
      <c r="F148" s="5"/>
      <c r="G148" s="5"/>
      <c r="H148" s="5"/>
      <c r="I148" s="5"/>
      <c r="J148" s="5"/>
      <c r="K148" s="5"/>
      <c r="L148" s="5"/>
    </row>
    <row r="149" spans="2:12" x14ac:dyDescent="0.25">
      <c r="B149" s="5"/>
      <c r="D149" s="5"/>
      <c r="E149" s="5"/>
      <c r="F149" s="5"/>
      <c r="G149" s="5"/>
      <c r="H149" s="5"/>
      <c r="I149" s="5"/>
      <c r="J149" s="5"/>
      <c r="K149" s="5"/>
      <c r="L149" s="5"/>
    </row>
    <row r="150" spans="2:12" x14ac:dyDescent="0.25">
      <c r="B150" s="5"/>
      <c r="D150" s="5"/>
      <c r="E150" s="5"/>
      <c r="F150" s="5"/>
      <c r="G150" s="5"/>
      <c r="H150" s="5"/>
      <c r="I150" s="5"/>
      <c r="J150" s="5"/>
      <c r="K150" s="5"/>
      <c r="L150" s="5"/>
    </row>
    <row r="151" spans="2:12" x14ac:dyDescent="0.25">
      <c r="B151" s="5"/>
      <c r="D151" s="5"/>
      <c r="E151" s="5"/>
      <c r="F151" s="5"/>
      <c r="G151" s="5"/>
      <c r="H151" s="5"/>
      <c r="I151" s="5"/>
      <c r="J151" s="5"/>
      <c r="K151" s="5"/>
      <c r="L151" s="5"/>
    </row>
    <row r="152" spans="2:12" x14ac:dyDescent="0.25">
      <c r="B152" s="5"/>
      <c r="D152" s="5"/>
      <c r="E152" s="5"/>
      <c r="F152" s="5"/>
      <c r="G152" s="5"/>
      <c r="H152" s="5"/>
      <c r="I152" s="5"/>
      <c r="J152" s="5"/>
      <c r="K152" s="5"/>
      <c r="L152" s="5"/>
    </row>
    <row r="153" spans="2:12" x14ac:dyDescent="0.25">
      <c r="B153" s="5"/>
      <c r="D153" s="5"/>
      <c r="E153" s="5"/>
      <c r="F153" s="5"/>
      <c r="G153" s="5"/>
      <c r="H153" s="5"/>
      <c r="I153" s="5"/>
      <c r="J153" s="5"/>
      <c r="K153" s="5"/>
      <c r="L153" s="5"/>
    </row>
    <row r="154" spans="2:12" x14ac:dyDescent="0.25">
      <c r="B154" s="5"/>
      <c r="D154" s="5"/>
      <c r="E154" s="5"/>
      <c r="F154" s="5"/>
      <c r="G154" s="5"/>
      <c r="H154" s="5"/>
      <c r="I154" s="5"/>
      <c r="J154" s="5"/>
      <c r="K154" s="5"/>
      <c r="L154" s="5"/>
    </row>
    <row r="155" spans="2:12" x14ac:dyDescent="0.25">
      <c r="B155" s="5"/>
      <c r="D155" s="5"/>
      <c r="E155" s="5"/>
      <c r="F155" s="5"/>
      <c r="G155" s="5"/>
      <c r="H155" s="5"/>
      <c r="I155" s="5"/>
      <c r="J155" s="5"/>
      <c r="K155" s="5"/>
      <c r="L155" s="5"/>
    </row>
    <row r="156" spans="2:12" x14ac:dyDescent="0.25">
      <c r="B156" s="5"/>
      <c r="D156" s="5"/>
      <c r="E156" s="5"/>
      <c r="F156" s="5"/>
      <c r="G156" s="5"/>
      <c r="H156" s="5"/>
      <c r="I156" s="5"/>
      <c r="J156" s="5"/>
      <c r="K156" s="5"/>
      <c r="L156" s="5"/>
    </row>
    <row r="157" spans="2:12" x14ac:dyDescent="0.25">
      <c r="B157" s="5"/>
      <c r="D157" s="5"/>
      <c r="E157" s="5"/>
      <c r="F157" s="5"/>
      <c r="G157" s="5"/>
      <c r="H157" s="5"/>
      <c r="I157" s="5"/>
      <c r="J157" s="5"/>
      <c r="K157" s="5"/>
      <c r="L157" s="5"/>
    </row>
    <row r="158" spans="2:12" x14ac:dyDescent="0.25">
      <c r="B158" s="5"/>
      <c r="D158" s="5"/>
      <c r="E158" s="5"/>
      <c r="F158" s="5"/>
      <c r="G158" s="5"/>
      <c r="H158" s="5"/>
      <c r="I158" s="5"/>
      <c r="J158" s="5"/>
      <c r="K158" s="5"/>
      <c r="L158" s="5"/>
    </row>
    <row r="159" spans="2:12" x14ac:dyDescent="0.25">
      <c r="B159" s="5"/>
      <c r="D159" s="5"/>
      <c r="E159" s="5"/>
      <c r="F159" s="5"/>
      <c r="G159" s="5"/>
      <c r="H159" s="5"/>
      <c r="I159" s="5"/>
      <c r="J159" s="5"/>
      <c r="K159" s="5"/>
      <c r="L159" s="5"/>
    </row>
    <row r="160" spans="2:12" x14ac:dyDescent="0.25">
      <c r="B160" s="5"/>
      <c r="D160" s="5"/>
      <c r="E160" s="5"/>
      <c r="F160" s="5"/>
      <c r="G160" s="5"/>
      <c r="H160" s="5"/>
      <c r="I160" s="5"/>
      <c r="J160" s="5"/>
      <c r="K160" s="5"/>
      <c r="L160" s="5"/>
    </row>
    <row r="161" spans="2:12" x14ac:dyDescent="0.25">
      <c r="B161" s="5"/>
      <c r="D161" s="5"/>
      <c r="E161" s="5"/>
      <c r="F161" s="5"/>
      <c r="G161" s="5"/>
      <c r="H161" s="5"/>
      <c r="I161" s="5"/>
      <c r="J161" s="5"/>
      <c r="K161" s="5"/>
      <c r="L161" s="5"/>
    </row>
    <row r="162" spans="2:12" x14ac:dyDescent="0.25">
      <c r="B162" s="5"/>
      <c r="D162" s="5"/>
      <c r="E162" s="5"/>
      <c r="F162" s="5"/>
      <c r="G162" s="5"/>
      <c r="H162" s="5"/>
      <c r="I162" s="5"/>
      <c r="J162" s="5"/>
      <c r="K162" s="5"/>
      <c r="L162" s="5"/>
    </row>
    <row r="163" spans="2:12" x14ac:dyDescent="0.25">
      <c r="B163" s="5"/>
      <c r="D163" s="5"/>
      <c r="E163" s="5"/>
      <c r="F163" s="5"/>
      <c r="G163" s="5"/>
      <c r="H163" s="5"/>
      <c r="I163" s="5"/>
      <c r="J163" s="5"/>
      <c r="K163" s="5"/>
      <c r="L163" s="5"/>
    </row>
    <row r="164" spans="2:12" x14ac:dyDescent="0.25">
      <c r="B164" s="5"/>
      <c r="D164" s="5"/>
      <c r="E164" s="5"/>
      <c r="F164" s="5"/>
      <c r="G164" s="5"/>
      <c r="H164" s="5"/>
      <c r="I164" s="5"/>
      <c r="J164" s="5"/>
      <c r="K164" s="5"/>
      <c r="L164" s="5"/>
    </row>
    <row r="165" spans="2:12" x14ac:dyDescent="0.25">
      <c r="B165" s="5"/>
      <c r="D165" s="5"/>
      <c r="E165" s="5"/>
      <c r="F165" s="5"/>
      <c r="G165" s="5"/>
      <c r="H165" s="5"/>
      <c r="I165" s="5"/>
      <c r="J165" s="5"/>
      <c r="K165" s="5"/>
      <c r="L165" s="5"/>
    </row>
    <row r="166" spans="2:12" x14ac:dyDescent="0.25">
      <c r="B166" s="5"/>
      <c r="D166" s="5"/>
      <c r="E166" s="5"/>
      <c r="F166" s="5"/>
      <c r="G166" s="5"/>
      <c r="H166" s="5"/>
      <c r="I166" s="5"/>
      <c r="J166" s="5"/>
      <c r="K166" s="5"/>
      <c r="L166" s="5"/>
    </row>
    <row r="167" spans="2:12" x14ac:dyDescent="0.25">
      <c r="B167" s="5"/>
      <c r="D167" s="5"/>
      <c r="E167" s="5"/>
      <c r="F167" s="5"/>
      <c r="G167" s="5"/>
      <c r="H167" s="5"/>
      <c r="I167" s="5"/>
      <c r="J167" s="5"/>
      <c r="K167" s="5"/>
      <c r="L167" s="5"/>
    </row>
    <row r="168" spans="2:12" x14ac:dyDescent="0.25">
      <c r="B168" s="5"/>
      <c r="D168" s="5"/>
      <c r="E168" s="5"/>
      <c r="F168" s="5"/>
      <c r="G168" s="5"/>
      <c r="H168" s="5"/>
      <c r="I168" s="5"/>
      <c r="J168" s="5"/>
      <c r="K168" s="5"/>
      <c r="L168" s="5"/>
    </row>
    <row r="169" spans="2:12" x14ac:dyDescent="0.25">
      <c r="B169" s="5"/>
      <c r="D169" s="5"/>
      <c r="E169" s="5"/>
      <c r="F169" s="5"/>
      <c r="G169" s="5"/>
      <c r="H169" s="5"/>
      <c r="I169" s="5"/>
      <c r="J169" s="5"/>
      <c r="K169" s="5"/>
      <c r="L169" s="5"/>
    </row>
    <row r="170" spans="2:12" x14ac:dyDescent="0.25">
      <c r="B170" s="5"/>
      <c r="D170" s="5"/>
      <c r="E170" s="5"/>
      <c r="F170" s="5"/>
      <c r="G170" s="5"/>
      <c r="H170" s="5"/>
      <c r="I170" s="5"/>
      <c r="J170" s="5"/>
      <c r="K170" s="5"/>
      <c r="L170" s="5"/>
    </row>
    <row r="171" spans="2:12" x14ac:dyDescent="0.25">
      <c r="B171" s="5"/>
      <c r="D171" s="5"/>
      <c r="E171" s="5"/>
      <c r="F171" s="5"/>
      <c r="G171" s="5"/>
      <c r="H171" s="5"/>
      <c r="I171" s="5"/>
      <c r="J171" s="5"/>
      <c r="K171" s="5"/>
      <c r="L171" s="5"/>
    </row>
    <row r="172" spans="2:12" x14ac:dyDescent="0.25">
      <c r="B172" s="5"/>
      <c r="D172" s="5"/>
      <c r="E172" s="5"/>
      <c r="F172" s="5"/>
      <c r="G172" s="5"/>
      <c r="H172" s="5"/>
      <c r="I172" s="5"/>
      <c r="J172" s="5"/>
      <c r="K172" s="5"/>
      <c r="L172" s="5"/>
    </row>
    <row r="173" spans="2:12" x14ac:dyDescent="0.25">
      <c r="B173" s="5"/>
      <c r="D173" s="5"/>
      <c r="E173" s="5"/>
      <c r="F173" s="5"/>
      <c r="G173" s="5"/>
      <c r="H173" s="5"/>
      <c r="I173" s="5"/>
      <c r="J173" s="5"/>
      <c r="K173" s="5"/>
      <c r="L173" s="5"/>
    </row>
    <row r="174" spans="2:12" x14ac:dyDescent="0.25">
      <c r="B174" s="5"/>
      <c r="D174" s="5"/>
      <c r="E174" s="5"/>
      <c r="F174" s="5"/>
      <c r="G174" s="5"/>
      <c r="H174" s="5"/>
      <c r="I174" s="5"/>
      <c r="J174" s="5"/>
      <c r="K174" s="5"/>
      <c r="L174" s="5"/>
    </row>
    <row r="175" spans="2:12" x14ac:dyDescent="0.25">
      <c r="B175" s="5"/>
      <c r="D175" s="5"/>
      <c r="E175" s="5"/>
      <c r="F175" s="5"/>
      <c r="G175" s="5"/>
      <c r="H175" s="5"/>
      <c r="I175" s="5"/>
      <c r="J175" s="5"/>
      <c r="K175" s="5"/>
      <c r="L175" s="5"/>
    </row>
    <row r="176" spans="2:12" x14ac:dyDescent="0.25">
      <c r="B176" s="5"/>
      <c r="D176" s="5"/>
      <c r="E176" s="5"/>
      <c r="F176" s="5"/>
      <c r="G176" s="5"/>
      <c r="H176" s="5"/>
      <c r="I176" s="5"/>
      <c r="J176" s="5"/>
      <c r="K176" s="5"/>
      <c r="L176" s="5"/>
    </row>
    <row r="177" spans="2:12" x14ac:dyDescent="0.25">
      <c r="B177" s="5"/>
      <c r="D177" s="5"/>
      <c r="E177" s="5"/>
      <c r="F177" s="5"/>
      <c r="G177" s="5"/>
      <c r="H177" s="5"/>
      <c r="I177" s="5"/>
      <c r="J177" s="5"/>
      <c r="K177" s="5"/>
      <c r="L177" s="5"/>
    </row>
    <row r="178" spans="2:12" x14ac:dyDescent="0.25">
      <c r="B178" s="5"/>
      <c r="D178" s="5"/>
      <c r="E178" s="5"/>
      <c r="F178" s="5"/>
      <c r="G178" s="5"/>
      <c r="H178" s="5"/>
      <c r="I178" s="5"/>
      <c r="J178" s="5"/>
      <c r="K178" s="5"/>
      <c r="L178" s="5"/>
    </row>
    <row r="179" spans="2:12" x14ac:dyDescent="0.25">
      <c r="B179" s="5"/>
      <c r="D179" s="5"/>
      <c r="E179" s="5"/>
      <c r="F179" s="5"/>
      <c r="G179" s="5"/>
      <c r="H179" s="5"/>
      <c r="I179" s="5"/>
      <c r="J179" s="5"/>
      <c r="K179" s="5"/>
      <c r="L179" s="5"/>
    </row>
    <row r="180" spans="2:12" x14ac:dyDescent="0.25">
      <c r="B180" s="5"/>
      <c r="D180" s="5"/>
      <c r="E180" s="5"/>
      <c r="F180" s="5"/>
      <c r="G180" s="5"/>
      <c r="H180" s="5"/>
      <c r="I180" s="5"/>
      <c r="J180" s="5"/>
      <c r="K180" s="5"/>
      <c r="L180" s="5"/>
    </row>
    <row r="181" spans="2:12" x14ac:dyDescent="0.25">
      <c r="B181" s="5"/>
      <c r="D181" s="5"/>
      <c r="E181" s="5"/>
      <c r="F181" s="5"/>
      <c r="G181" s="5"/>
      <c r="H181" s="5"/>
      <c r="I181" s="5"/>
      <c r="J181" s="5"/>
      <c r="K181" s="5"/>
      <c r="L181" s="5"/>
    </row>
    <row r="182" spans="2:12" x14ac:dyDescent="0.25">
      <c r="B182" s="5"/>
      <c r="D182" s="5"/>
      <c r="E182" s="5"/>
      <c r="F182" s="5"/>
      <c r="G182" s="5"/>
      <c r="H182" s="5"/>
      <c r="I182" s="5"/>
      <c r="J182" s="5"/>
      <c r="K182" s="5"/>
      <c r="L182" s="5"/>
    </row>
    <row r="183" spans="2:12" x14ac:dyDescent="0.25">
      <c r="B183" s="5"/>
      <c r="D183" s="5"/>
      <c r="E183" s="5"/>
      <c r="F183" s="5"/>
      <c r="G183" s="5"/>
      <c r="H183" s="5"/>
      <c r="I183" s="5"/>
      <c r="J183" s="5"/>
      <c r="K183" s="5"/>
      <c r="L183" s="5"/>
    </row>
    <row r="184" spans="2:12" x14ac:dyDescent="0.25">
      <c r="K184" s="5"/>
      <c r="L184" s="5"/>
    </row>
  </sheetData>
  <mergeCells count="41">
    <mergeCell ref="B69:F69"/>
    <mergeCell ref="D44:I44"/>
    <mergeCell ref="D45:I45"/>
    <mergeCell ref="B47:E47"/>
    <mergeCell ref="B48:B54"/>
    <mergeCell ref="D33:I33"/>
    <mergeCell ref="A1:P1"/>
    <mergeCell ref="A2:P2"/>
    <mergeCell ref="A3:P3"/>
    <mergeCell ref="A4:D4"/>
    <mergeCell ref="A5:P5"/>
    <mergeCell ref="N24:N25"/>
    <mergeCell ref="O24:O25"/>
    <mergeCell ref="P24:P25"/>
    <mergeCell ref="K24:K25"/>
    <mergeCell ref="B10:D10"/>
    <mergeCell ref="F10:S10"/>
    <mergeCell ref="F11:S11"/>
    <mergeCell ref="E12:R12"/>
    <mergeCell ref="E13:R13"/>
    <mergeCell ref="D43:I43"/>
    <mergeCell ref="B89:B94"/>
    <mergeCell ref="B74:D74"/>
    <mergeCell ref="B76:B84"/>
    <mergeCell ref="B85:B86"/>
    <mergeCell ref="D85:D86"/>
    <mergeCell ref="B87:B88"/>
    <mergeCell ref="B56:E56"/>
    <mergeCell ref="B57:B63"/>
    <mergeCell ref="B66:D67"/>
    <mergeCell ref="B15:B43"/>
    <mergeCell ref="D15:I15"/>
    <mergeCell ref="D22:I22"/>
    <mergeCell ref="D23:I23"/>
    <mergeCell ref="D31:I31"/>
    <mergeCell ref="D32:I32"/>
    <mergeCell ref="K39:K40"/>
    <mergeCell ref="L39:L40"/>
    <mergeCell ref="M39:M40"/>
    <mergeCell ref="L24:L25"/>
    <mergeCell ref="M24:M25"/>
  </mergeCells>
  <conditionalFormatting sqref="E12:R12">
    <cfRule type="expression" dxfId="83" priority="1">
      <formula>E11="SI SE REPORTA"</formula>
    </cfRule>
  </conditionalFormatting>
  <conditionalFormatting sqref="F10">
    <cfRule type="notContainsBlanks" dxfId="82" priority="4">
      <formula>LEN(TRIM(F10))&gt;0</formula>
    </cfRule>
  </conditionalFormatting>
  <conditionalFormatting sqref="F11:S11">
    <cfRule type="expression" dxfId="81" priority="2">
      <formula>E11="NO SE REPORTA"</formula>
    </cfRule>
    <cfRule type="expression" dxfId="80" priority="3">
      <formula>E10="NO APLICA"</formula>
    </cfRule>
  </conditionalFormatting>
  <conditionalFormatting sqref="I20">
    <cfRule type="containsErrors" dxfId="79" priority="6">
      <formula>ISERROR(I20)</formula>
    </cfRule>
  </conditionalFormatting>
  <conditionalFormatting sqref="I25">
    <cfRule type="containsText" dxfId="78" priority="5" operator="containsText" text="debe">
      <formula>NOT(ISERROR(SEARCH("debe",I25)))</formula>
    </cfRule>
  </conditionalFormatting>
  <dataValidations count="6">
    <dataValidation type="list" allowBlank="1" showInputMessage="1" showErrorMessage="1" sqref="E10" xr:uid="{00000000-0002-0000-1300-000005000000}">
      <formula1>SI</formula1>
    </dataValidation>
    <dataValidation type="list" allowBlank="1" showInputMessage="1" showErrorMessage="1" sqref="E11" xr:uid="{00000000-0002-0000-1300-000004000000}">
      <formula1>REPORTE</formula1>
    </dataValidation>
    <dataValidation type="decimal" allowBlank="1" showInputMessage="1" showErrorMessage="1" errorTitle="ERROR" error="Escriba un valor entre 0% y 100%" sqref="L26:L29" xr:uid="{00000000-0002-0000-1300-000003000000}">
      <formula1>0</formula1>
      <formula2>1</formula2>
    </dataValidation>
    <dataValidation type="whole" errorStyle="warning" operator="equal" allowBlank="1" showInputMessage="1" showErrorMessage="1" error="LA SUMA DEBE SER IGUAL A LA META CUATRIENAL" promptTitle="OJO" prompt="LA SUMA DEBE SER IGUAL A LA META CUATRIENAL" sqref="I25" xr:uid="{00000000-0002-0000-1300-000002000000}">
      <formula1>E20</formula1>
    </dataValidation>
    <dataValidation allowBlank="1" showInputMessage="1" showErrorMessage="1" promptTitle="ESTADO" prompt="en formulación_x000a_en actualización_x000a_en adopción_x000a_adoptado" sqref="G35:G42" xr:uid="{00000000-0002-0000-1300-000001000000}"/>
    <dataValidation type="whole" operator="greaterThanOrEqual" allowBlank="1" showInputMessage="1" showErrorMessage="1" errorTitle="ERROR" error="Valor en HECTAREAS (sin decimales)" sqref="L41:L45 E21 E25:H29 F35:F42 I26:I30 E17:E19" xr:uid="{00000000-0002-0000-1300-000000000000}">
      <formula1>0</formula1>
    </dataValidation>
  </dataValidations>
  <hyperlinks>
    <hyperlink ref="B9" location="'ANEXO 3'!A1" display="VOLVER AL INDICE" xr:uid="{E4250358-CFFE-41E5-BB9A-BE988E367120}"/>
    <hyperlink ref="E52" r:id="rId1" xr:uid="{D279EFDF-ED40-4949-B898-2BD1DA0A76CD}"/>
  </hyperlinks>
  <pageMargins left="0.25" right="0.25" top="0.75" bottom="0.75" header="0.3" footer="0.3"/>
  <pageSetup paperSize="178" orientation="landscape" horizontalDpi="1200" verticalDpi="1200"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2BD33-68C9-4FFD-A9C4-703F243F1EF7}">
  <dimension ref="A1:U189"/>
  <sheetViews>
    <sheetView showGridLines="0" topLeftCell="A19" zoomScale="98" zoomScaleNormal="98" workbookViewId="0">
      <selection activeCell="D18" sqref="D18:I18"/>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21</v>
      </c>
      <c r="B5" s="998"/>
      <c r="C5" s="998"/>
      <c r="D5" s="998"/>
      <c r="E5" s="998"/>
      <c r="F5" s="998"/>
      <c r="G5" s="998"/>
      <c r="H5" s="998"/>
      <c r="I5" s="998"/>
      <c r="J5" s="998"/>
      <c r="K5" s="998"/>
      <c r="L5" s="998"/>
      <c r="M5" s="998"/>
      <c r="N5" s="998"/>
      <c r="O5" s="998"/>
      <c r="P5" s="999"/>
    </row>
    <row r="6" spans="1:21" x14ac:dyDescent="0.25">
      <c r="B6" s="1" t="s">
        <v>626</v>
      </c>
      <c r="C6" s="76"/>
      <c r="D6" s="5"/>
      <c r="E6" s="74"/>
      <c r="F6" s="5" t="s">
        <v>627</v>
      </c>
      <c r="G6" s="5"/>
      <c r="H6" s="5"/>
      <c r="I6" s="5"/>
      <c r="J6" s="5"/>
      <c r="K6" s="5"/>
    </row>
    <row r="7" spans="1:21" ht="15.75" thickBot="1" x14ac:dyDescent="0.3">
      <c r="B7" s="75"/>
      <c r="C7" s="77"/>
      <c r="D7" s="5"/>
      <c r="E7" s="17"/>
      <c r="F7" s="5" t="s">
        <v>628</v>
      </c>
      <c r="G7" s="5"/>
      <c r="H7" s="5"/>
      <c r="I7" s="5"/>
      <c r="J7" s="5"/>
      <c r="K7" s="5"/>
    </row>
    <row r="8" spans="1:21" ht="15.75" thickBot="1" x14ac:dyDescent="0.3">
      <c r="B8" s="170" t="s">
        <v>629</v>
      </c>
      <c r="C8" s="211">
        <v>2024</v>
      </c>
      <c r="D8" s="216">
        <f>IF(E10="NO APLICA","NO APLICA",IF(E11="NO SE REPORTA","SIN INFORMACION",+G20))</f>
        <v>0.66666666666666663</v>
      </c>
      <c r="E8" s="212"/>
      <c r="F8" s="5" t="s">
        <v>630</v>
      </c>
      <c r="G8" s="5"/>
      <c r="H8" s="5"/>
      <c r="I8" s="5"/>
      <c r="J8" s="5"/>
      <c r="K8" s="5"/>
    </row>
    <row r="9" spans="1:21" x14ac:dyDescent="0.25">
      <c r="B9" s="358" t="s">
        <v>631</v>
      </c>
      <c r="D9" s="5"/>
      <c r="E9" s="5"/>
      <c r="F9" s="5"/>
      <c r="G9" s="5"/>
      <c r="H9" s="5"/>
      <c r="I9" s="5"/>
      <c r="J9" s="5"/>
      <c r="K9" s="5"/>
    </row>
    <row r="10" spans="1:21" x14ac:dyDescent="0.25">
      <c r="B10" s="1008" t="s">
        <v>632</v>
      </c>
      <c r="C10" s="1008"/>
      <c r="D10" s="1008"/>
      <c r="E10" s="361" t="s">
        <v>633</v>
      </c>
      <c r="F10" s="99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96"/>
      <c r="H10" s="996"/>
      <c r="I10" s="996"/>
      <c r="J10" s="996"/>
      <c r="K10" s="996"/>
      <c r="L10" s="996"/>
      <c r="M10" s="996"/>
      <c r="N10" s="996"/>
      <c r="O10" s="996"/>
      <c r="P10" s="996"/>
      <c r="Q10" s="996"/>
      <c r="R10" s="996"/>
      <c r="S10" s="996"/>
      <c r="T10" s="5"/>
      <c r="U10" s="5"/>
    </row>
    <row r="11" spans="1:21" ht="14.45" customHeight="1" x14ac:dyDescent="0.25">
      <c r="B11" s="360"/>
      <c r="C11" s="88"/>
      <c r="D11" s="171" t="str">
        <f>IF(E10="SI APLICA","¿El indicador no se reporta por limitaciones de información disponible? ","")</f>
        <v xml:space="preserve">¿El indicador no se reporta por limitaciones de información disponible? </v>
      </c>
      <c r="E11" s="362" t="s">
        <v>634</v>
      </c>
      <c r="F11" s="1009"/>
      <c r="G11" s="1010"/>
      <c r="H11" s="1010"/>
      <c r="I11" s="1010"/>
      <c r="J11" s="1010"/>
      <c r="K11" s="1010"/>
      <c r="L11" s="1010"/>
      <c r="M11" s="1010"/>
      <c r="N11" s="1010"/>
      <c r="O11" s="1010"/>
      <c r="P11" s="1010"/>
      <c r="Q11" s="1010"/>
      <c r="R11" s="1010"/>
      <c r="S11" s="1010"/>
    </row>
    <row r="12" spans="1:21" ht="34.15" customHeight="1" x14ac:dyDescent="0.25">
      <c r="B12" s="358"/>
      <c r="C12" s="88"/>
      <c r="D12" s="171" t="str">
        <f>IF(E11="SI SE REPORTA","¿Qué programas o proyectos del Plan de Acción están asociados al indicador? ","")</f>
        <v xml:space="preserve">¿Qué programas o proyectos del Plan de Acción están asociados al indicador? </v>
      </c>
      <c r="E12" s="1011" t="s">
        <v>2318</v>
      </c>
      <c r="F12" s="1011"/>
      <c r="G12" s="1011"/>
      <c r="H12" s="1011"/>
      <c r="I12" s="1011"/>
      <c r="J12" s="1011"/>
      <c r="K12" s="1011"/>
      <c r="L12" s="1011"/>
      <c r="M12" s="1011"/>
      <c r="N12" s="1011"/>
      <c r="O12" s="1011"/>
      <c r="P12" s="1011"/>
      <c r="Q12" s="1011"/>
      <c r="R12" s="1011"/>
    </row>
    <row r="13" spans="1:21" ht="21.95" customHeight="1" x14ac:dyDescent="0.25">
      <c r="B13" s="358"/>
      <c r="C13" s="88"/>
      <c r="D13" s="171" t="s">
        <v>635</v>
      </c>
      <c r="E13" s="1012"/>
      <c r="F13" s="1013"/>
      <c r="G13" s="1013"/>
      <c r="H13" s="1013"/>
      <c r="I13" s="1013"/>
      <c r="J13" s="1013"/>
      <c r="K13" s="1013"/>
      <c r="L13" s="1013"/>
      <c r="M13" s="1013"/>
      <c r="N13" s="1013"/>
      <c r="O13" s="1013"/>
      <c r="P13" s="1013"/>
      <c r="Q13" s="1013"/>
      <c r="R13" s="1014"/>
    </row>
    <row r="14" spans="1:21" ht="6.95" customHeight="1" thickBot="1" x14ac:dyDescent="0.3">
      <c r="B14" s="358"/>
      <c r="D14" s="5"/>
      <c r="E14" s="5"/>
      <c r="F14" s="5"/>
      <c r="G14" s="5"/>
      <c r="H14" s="5"/>
      <c r="I14" s="5"/>
      <c r="J14" s="5"/>
      <c r="K14" s="5"/>
    </row>
    <row r="15" spans="1:21" ht="15.6" customHeight="1" thickTop="1" thickBot="1" x14ac:dyDescent="0.3">
      <c r="B15" s="1066" t="s">
        <v>636</v>
      </c>
      <c r="C15" s="89"/>
      <c r="D15" s="956" t="s">
        <v>940</v>
      </c>
      <c r="E15" s="957"/>
      <c r="F15" s="957"/>
      <c r="G15" s="957"/>
      <c r="H15" s="957"/>
      <c r="I15" s="957"/>
      <c r="J15" s="957"/>
      <c r="K15" s="957"/>
      <c r="L15" s="1078"/>
    </row>
    <row r="16" spans="1:21" ht="36.75" thickBot="1" x14ac:dyDescent="0.3">
      <c r="B16" s="1067"/>
      <c r="C16" s="94"/>
      <c r="D16" s="43" t="s">
        <v>1118</v>
      </c>
      <c r="E16" s="43" t="s">
        <v>1119</v>
      </c>
      <c r="F16" s="43" t="s">
        <v>1120</v>
      </c>
      <c r="G16" s="43" t="s">
        <v>1121</v>
      </c>
      <c r="H16" s="5"/>
      <c r="I16" s="5"/>
      <c r="J16" s="5"/>
      <c r="K16" s="5"/>
      <c r="L16" s="13"/>
    </row>
    <row r="17" spans="2:12" ht="36.75" thickBot="1" x14ac:dyDescent="0.3">
      <c r="B17" s="1067"/>
      <c r="C17" s="94"/>
      <c r="D17" s="40" t="s">
        <v>1122</v>
      </c>
      <c r="E17" s="206">
        <v>5</v>
      </c>
      <c r="F17" s="206"/>
      <c r="G17" s="144">
        <f>+E17+F17</f>
        <v>5</v>
      </c>
      <c r="H17" s="5"/>
      <c r="I17" s="5"/>
      <c r="J17" s="5"/>
      <c r="K17" s="5"/>
      <c r="L17" s="13"/>
    </row>
    <row r="18" spans="2:12" ht="24.75" thickBot="1" x14ac:dyDescent="0.3">
      <c r="B18" s="1067"/>
      <c r="C18" s="94"/>
      <c r="D18" s="40" t="s">
        <v>1123</v>
      </c>
      <c r="E18" s="206">
        <v>3</v>
      </c>
      <c r="F18" s="206"/>
      <c r="G18" s="144">
        <f>+E18+F18</f>
        <v>3</v>
      </c>
      <c r="H18" s="5"/>
      <c r="I18" s="5"/>
      <c r="J18" s="5"/>
      <c r="K18" s="5"/>
      <c r="L18" s="13"/>
    </row>
    <row r="19" spans="2:12" ht="24.75" thickBot="1" x14ac:dyDescent="0.3">
      <c r="B19" s="1067"/>
      <c r="C19" s="94"/>
      <c r="D19" s="40" t="s">
        <v>1124</v>
      </c>
      <c r="E19" s="206">
        <v>2</v>
      </c>
      <c r="F19" s="206"/>
      <c r="G19" s="144">
        <f>+E19+F19</f>
        <v>2</v>
      </c>
      <c r="H19" s="5"/>
      <c r="I19" s="5"/>
      <c r="J19" s="5"/>
      <c r="K19" s="5"/>
      <c r="L19" s="13"/>
    </row>
    <row r="20" spans="2:12" ht="24.75" thickBot="1" x14ac:dyDescent="0.3">
      <c r="B20" s="1067"/>
      <c r="C20" s="94"/>
      <c r="D20" s="40" t="s">
        <v>21</v>
      </c>
      <c r="E20" s="185">
        <f>IFERROR(E19/E18,"N.A.")</f>
        <v>0.66666666666666663</v>
      </c>
      <c r="F20" s="185" t="str">
        <f>IFERROR(F19/F18,"N.A.")</f>
        <v>N.A.</v>
      </c>
      <c r="G20" s="137">
        <f>IFERROR(G19/G18,0)</f>
        <v>0.66666666666666663</v>
      </c>
      <c r="H20" s="5"/>
      <c r="I20" s="5"/>
      <c r="J20" s="5"/>
      <c r="K20" s="5"/>
      <c r="L20" s="13"/>
    </row>
    <row r="21" spans="2:12" x14ac:dyDescent="0.25">
      <c r="B21" s="1067"/>
      <c r="C21" s="92"/>
      <c r="D21" s="962"/>
      <c r="E21" s="963"/>
      <c r="F21" s="963"/>
      <c r="G21" s="963"/>
      <c r="H21" s="963"/>
      <c r="I21" s="963"/>
      <c r="J21" s="963"/>
      <c r="K21" s="963"/>
      <c r="L21" s="1079"/>
    </row>
    <row r="22" spans="2:12" x14ac:dyDescent="0.25">
      <c r="B22" s="1067"/>
      <c r="C22" s="92"/>
      <c r="D22" s="959" t="s">
        <v>866</v>
      </c>
      <c r="E22" s="960"/>
      <c r="F22" s="960"/>
      <c r="G22" s="960"/>
      <c r="H22" s="960"/>
      <c r="I22" s="960"/>
      <c r="J22" s="960"/>
      <c r="K22" s="960"/>
      <c r="L22" s="1080"/>
    </row>
    <row r="23" spans="2:12" x14ac:dyDescent="0.25">
      <c r="B23" s="1067"/>
      <c r="C23" s="92"/>
      <c r="D23" s="959" t="s">
        <v>1125</v>
      </c>
      <c r="E23" s="960"/>
      <c r="F23" s="960"/>
      <c r="G23" s="960"/>
      <c r="H23" s="960"/>
      <c r="I23" s="960"/>
      <c r="J23" s="960"/>
      <c r="K23" s="960"/>
      <c r="L23" s="1080"/>
    </row>
    <row r="24" spans="2:12" ht="15.75" thickBot="1" x14ac:dyDescent="0.3">
      <c r="B24" s="1067"/>
      <c r="C24" s="92"/>
      <c r="D24" s="986" t="s">
        <v>947</v>
      </c>
      <c r="E24" s="987"/>
      <c r="F24" s="987"/>
      <c r="G24" s="987"/>
      <c r="H24" s="987"/>
      <c r="I24" s="987"/>
      <c r="J24" s="987"/>
      <c r="K24" s="987"/>
      <c r="L24" s="1081"/>
    </row>
    <row r="25" spans="2:12" ht="15.6" customHeight="1" x14ac:dyDescent="0.25">
      <c r="B25" s="218"/>
      <c r="C25" s="1070" t="s">
        <v>585</v>
      </c>
      <c r="D25" s="1068" t="s">
        <v>868</v>
      </c>
      <c r="E25" s="1068" t="s">
        <v>1126</v>
      </c>
      <c r="F25" s="1068" t="s">
        <v>1001</v>
      </c>
      <c r="G25" s="1068" t="s">
        <v>1127</v>
      </c>
      <c r="H25" s="73" t="s">
        <v>1128</v>
      </c>
      <c r="I25" s="73" t="s">
        <v>1129</v>
      </c>
      <c r="J25" s="1068" t="s">
        <v>872</v>
      </c>
      <c r="K25" s="1068" t="s">
        <v>873</v>
      </c>
      <c r="L25" s="1068" t="s">
        <v>593</v>
      </c>
    </row>
    <row r="26" spans="2:12" ht="15.75" thickBot="1" x14ac:dyDescent="0.3">
      <c r="B26" s="218"/>
      <c r="C26" s="1071"/>
      <c r="D26" s="1069"/>
      <c r="E26" s="1069"/>
      <c r="F26" s="1069"/>
      <c r="G26" s="1069"/>
      <c r="H26" s="65" t="s">
        <v>1130</v>
      </c>
      <c r="I26" s="65" t="s">
        <v>1131</v>
      </c>
      <c r="J26" s="1069"/>
      <c r="K26" s="1069"/>
      <c r="L26" s="1069"/>
    </row>
    <row r="27" spans="2:12" ht="15.75" thickBot="1" x14ac:dyDescent="0.3">
      <c r="B27" s="218"/>
      <c r="C27" s="91"/>
      <c r="D27" s="30"/>
      <c r="E27" s="30"/>
      <c r="F27" s="30"/>
      <c r="G27" s="30"/>
      <c r="H27" s="207"/>
      <c r="I27" s="207"/>
      <c r="J27" s="207"/>
      <c r="K27" s="207"/>
      <c r="L27" s="207"/>
    </row>
    <row r="28" spans="2:12" ht="15.75" thickBot="1" x14ac:dyDescent="0.3">
      <c r="B28" s="218"/>
      <c r="C28" s="91"/>
      <c r="D28" s="30"/>
      <c r="E28" s="30"/>
      <c r="F28" s="30"/>
      <c r="G28" s="30"/>
      <c r="H28" s="207"/>
      <c r="I28" s="207"/>
      <c r="J28" s="207"/>
      <c r="K28" s="207"/>
      <c r="L28" s="207"/>
    </row>
    <row r="29" spans="2:12" ht="15.75" thickBot="1" x14ac:dyDescent="0.3">
      <c r="B29" s="218"/>
      <c r="C29" s="91"/>
      <c r="D29" s="30"/>
      <c r="E29" s="30"/>
      <c r="F29" s="30"/>
      <c r="G29" s="30"/>
      <c r="H29" s="207"/>
      <c r="I29" s="207"/>
      <c r="J29" s="207"/>
      <c r="K29" s="207"/>
      <c r="L29" s="207"/>
    </row>
    <row r="30" spans="2:12" ht="15.75" thickBot="1" x14ac:dyDescent="0.3">
      <c r="B30" s="218"/>
      <c r="C30" s="91"/>
      <c r="D30" s="30"/>
      <c r="E30" s="30"/>
      <c r="F30" s="30"/>
      <c r="G30" s="30"/>
      <c r="H30" s="207"/>
      <c r="I30" s="207"/>
      <c r="J30" s="207"/>
      <c r="K30" s="207"/>
      <c r="L30" s="207"/>
    </row>
    <row r="31" spans="2:12" ht="15.75" thickBot="1" x14ac:dyDescent="0.3">
      <c r="B31" s="218"/>
      <c r="C31" s="91"/>
      <c r="D31" s="30"/>
      <c r="E31" s="30"/>
      <c r="F31" s="30"/>
      <c r="G31" s="30"/>
      <c r="H31" s="207"/>
      <c r="I31" s="207"/>
      <c r="J31" s="207"/>
      <c r="K31" s="207"/>
      <c r="L31" s="207"/>
    </row>
    <row r="32" spans="2:12" ht="15.75" thickBot="1" x14ac:dyDescent="0.3">
      <c r="B32" s="218"/>
      <c r="C32" s="91"/>
      <c r="D32" s="30"/>
      <c r="E32" s="30"/>
      <c r="F32" s="30"/>
      <c r="G32" s="30"/>
      <c r="H32" s="207"/>
      <c r="I32" s="207"/>
      <c r="J32" s="207"/>
      <c r="K32" s="207"/>
      <c r="L32" s="207"/>
    </row>
    <row r="33" spans="2:12" ht="15.75" thickBot="1" x14ac:dyDescent="0.3">
      <c r="B33" s="218"/>
      <c r="C33" s="91"/>
      <c r="D33" s="30"/>
      <c r="E33" s="30"/>
      <c r="F33" s="30"/>
      <c r="G33" s="30"/>
      <c r="H33" s="207"/>
      <c r="I33" s="207"/>
      <c r="J33" s="207"/>
      <c r="K33" s="207"/>
      <c r="L33" s="207"/>
    </row>
    <row r="34" spans="2:12" ht="15.75" thickBot="1" x14ac:dyDescent="0.3">
      <c r="B34" s="218"/>
      <c r="C34" s="91"/>
      <c r="D34" s="30"/>
      <c r="E34" s="30"/>
      <c r="F34" s="30"/>
      <c r="G34" s="30"/>
      <c r="H34" s="207"/>
      <c r="I34" s="207"/>
      <c r="J34" s="207"/>
      <c r="K34" s="207"/>
      <c r="L34" s="207"/>
    </row>
    <row r="35" spans="2:12" ht="15.75" thickBot="1" x14ac:dyDescent="0.3">
      <c r="B35" s="218"/>
      <c r="C35" s="91"/>
      <c r="D35" s="30"/>
      <c r="E35" s="30"/>
      <c r="F35" s="30"/>
      <c r="G35" s="30"/>
      <c r="H35" s="207"/>
      <c r="I35" s="207"/>
      <c r="J35" s="207"/>
      <c r="K35" s="207"/>
      <c r="L35" s="207"/>
    </row>
    <row r="36" spans="2:12" ht="15.75" thickBot="1" x14ac:dyDescent="0.3">
      <c r="B36" s="218"/>
      <c r="C36" s="91"/>
      <c r="D36" s="30"/>
      <c r="E36" s="30"/>
      <c r="F36" s="30"/>
      <c r="G36" s="30"/>
      <c r="H36" s="207"/>
      <c r="I36" s="207"/>
      <c r="J36" s="207"/>
      <c r="K36" s="207"/>
      <c r="L36" s="207"/>
    </row>
    <row r="37" spans="2:12" ht="15.75" thickBot="1" x14ac:dyDescent="0.3">
      <c r="B37" s="218"/>
      <c r="C37" s="91"/>
      <c r="D37" s="30"/>
      <c r="E37" s="30"/>
      <c r="F37" s="30"/>
      <c r="G37" s="30"/>
      <c r="H37" s="207"/>
      <c r="I37" s="207"/>
      <c r="J37" s="207"/>
      <c r="K37" s="207"/>
      <c r="L37" s="207"/>
    </row>
    <row r="38" spans="2:12" ht="15.75" thickBot="1" x14ac:dyDescent="0.3">
      <c r="B38" s="218"/>
      <c r="C38" s="91"/>
      <c r="D38" s="30"/>
      <c r="E38" s="30"/>
      <c r="F38" s="30"/>
      <c r="G38" s="30"/>
      <c r="H38" s="207"/>
      <c r="I38" s="207"/>
      <c r="J38" s="207"/>
      <c r="K38" s="207"/>
      <c r="L38" s="207"/>
    </row>
    <row r="39" spans="2:12" ht="15.75" thickBot="1" x14ac:dyDescent="0.3">
      <c r="B39" s="218"/>
      <c r="C39" s="91"/>
      <c r="D39" s="30"/>
      <c r="E39" s="30"/>
      <c r="F39" s="30"/>
      <c r="G39" s="30"/>
      <c r="H39" s="207"/>
      <c r="I39" s="207"/>
      <c r="J39" s="207"/>
      <c r="K39" s="207"/>
      <c r="L39" s="207"/>
    </row>
    <row r="40" spans="2:12" ht="15.75" thickBot="1" x14ac:dyDescent="0.3">
      <c r="B40" s="47"/>
      <c r="C40" s="110"/>
      <c r="D40" s="39" t="s">
        <v>764</v>
      </c>
      <c r="E40" s="26"/>
      <c r="F40" s="26"/>
      <c r="G40" s="26"/>
      <c r="H40" s="135">
        <f>SUM(H27:H39)</f>
        <v>0</v>
      </c>
      <c r="I40" s="135">
        <f>SUM(I27:I39)</f>
        <v>0</v>
      </c>
      <c r="J40" s="135">
        <f>SUM(J27:J39)</f>
        <v>0</v>
      </c>
      <c r="K40" s="135">
        <f>SUM(K27:K39)</f>
        <v>0</v>
      </c>
      <c r="L40" s="12"/>
    </row>
    <row r="41" spans="2:12" ht="24" customHeight="1" thickBot="1" x14ac:dyDescent="0.3">
      <c r="B41" s="72" t="s">
        <v>671</v>
      </c>
      <c r="C41" s="107"/>
      <c r="D41" s="983" t="s">
        <v>1132</v>
      </c>
      <c r="E41" s="984"/>
      <c r="F41" s="984"/>
      <c r="G41" s="984"/>
      <c r="H41" s="984"/>
      <c r="I41" s="984"/>
      <c r="J41" s="984"/>
      <c r="K41" s="984"/>
      <c r="L41" s="1082"/>
    </row>
    <row r="42" spans="2:12" ht="24" customHeight="1" thickBot="1" x14ac:dyDescent="0.3">
      <c r="B42" s="72" t="s">
        <v>673</v>
      </c>
      <c r="C42" s="107"/>
      <c r="D42" s="983" t="s">
        <v>953</v>
      </c>
      <c r="E42" s="984"/>
      <c r="F42" s="984"/>
      <c r="G42" s="984"/>
      <c r="H42" s="984"/>
      <c r="I42" s="984"/>
      <c r="J42" s="984"/>
      <c r="K42" s="984"/>
      <c r="L42" s="1082"/>
    </row>
    <row r="43" spans="2:12" ht="15.75" thickBot="1" x14ac:dyDescent="0.3">
      <c r="B43" s="1"/>
      <c r="C43" s="76"/>
      <c r="D43" s="5"/>
      <c r="E43" s="5"/>
      <c r="F43" s="5"/>
      <c r="G43" s="5"/>
      <c r="H43" s="5"/>
      <c r="I43" s="5"/>
      <c r="J43" s="5"/>
      <c r="K43" s="5"/>
    </row>
    <row r="44" spans="2:12" ht="24" customHeight="1" thickBot="1" x14ac:dyDescent="0.3">
      <c r="B44" s="971" t="s">
        <v>675</v>
      </c>
      <c r="C44" s="972"/>
      <c r="D44" s="972"/>
      <c r="E44" s="973"/>
      <c r="F44" s="5"/>
      <c r="G44" s="5"/>
      <c r="H44" s="5"/>
      <c r="I44" s="5"/>
      <c r="J44" s="5"/>
      <c r="K44" s="5"/>
    </row>
    <row r="45" spans="2:12" ht="48.75" thickBot="1" x14ac:dyDescent="0.3">
      <c r="B45" s="974">
        <v>1</v>
      </c>
      <c r="C45" s="94"/>
      <c r="D45" s="48" t="s">
        <v>676</v>
      </c>
      <c r="E45" s="337" t="s">
        <v>2301</v>
      </c>
      <c r="F45" s="5"/>
      <c r="G45" s="5"/>
      <c r="H45" s="5"/>
      <c r="I45" s="5"/>
      <c r="J45" s="5"/>
      <c r="K45" s="5"/>
    </row>
    <row r="46" spans="2:12" ht="48.75" thickBot="1" x14ac:dyDescent="0.3">
      <c r="B46" s="975"/>
      <c r="C46" s="94"/>
      <c r="D46" s="40" t="s">
        <v>525</v>
      </c>
      <c r="E46" s="337" t="s">
        <v>2311</v>
      </c>
      <c r="F46" s="5"/>
      <c r="G46" s="5"/>
      <c r="H46" s="5"/>
      <c r="I46" s="5"/>
      <c r="J46" s="5"/>
      <c r="K46" s="5"/>
    </row>
    <row r="47" spans="2:12" ht="36.75" thickBot="1" x14ac:dyDescent="0.3">
      <c r="B47" s="975"/>
      <c r="C47" s="94"/>
      <c r="D47" s="40" t="s">
        <v>677</v>
      </c>
      <c r="E47" s="337" t="s">
        <v>2303</v>
      </c>
      <c r="F47" s="5"/>
      <c r="G47" s="5"/>
      <c r="H47" s="5"/>
      <c r="I47" s="5"/>
      <c r="J47" s="5"/>
      <c r="K47" s="5"/>
    </row>
    <row r="48" spans="2:12" ht="15.75" thickBot="1" x14ac:dyDescent="0.3">
      <c r="B48" s="975"/>
      <c r="C48" s="94"/>
      <c r="D48" s="40" t="s">
        <v>527</v>
      </c>
      <c r="E48" s="337" t="s">
        <v>2304</v>
      </c>
      <c r="F48" s="5"/>
      <c r="G48" s="5"/>
      <c r="H48" s="5"/>
      <c r="I48" s="5"/>
      <c r="J48" s="5"/>
      <c r="K48" s="5"/>
    </row>
    <row r="49" spans="2:11" ht="60.75" thickBot="1" x14ac:dyDescent="0.3">
      <c r="B49" s="975"/>
      <c r="C49" s="94"/>
      <c r="D49" s="40" t="s">
        <v>529</v>
      </c>
      <c r="E49" s="766" t="s">
        <v>2309</v>
      </c>
      <c r="F49" s="5"/>
      <c r="G49" s="5"/>
      <c r="H49" s="5"/>
      <c r="I49" s="5"/>
      <c r="J49" s="5"/>
      <c r="K49" s="5"/>
    </row>
    <row r="50" spans="2:11" ht="15.75" thickBot="1" x14ac:dyDescent="0.3">
      <c r="B50" s="975"/>
      <c r="C50" s="94"/>
      <c r="D50" s="40" t="s">
        <v>531</v>
      </c>
      <c r="E50" s="337">
        <v>5748960</v>
      </c>
      <c r="F50" s="5"/>
      <c r="G50" s="5"/>
      <c r="H50" s="5"/>
      <c r="I50" s="5"/>
      <c r="J50" s="5"/>
      <c r="K50" s="5"/>
    </row>
    <row r="51" spans="2:11" ht="60.75" thickBot="1" x14ac:dyDescent="0.3">
      <c r="B51" s="976"/>
      <c r="C51" s="2"/>
      <c r="D51" s="40" t="s">
        <v>678</v>
      </c>
      <c r="E51" s="337" t="s">
        <v>2312</v>
      </c>
      <c r="F51" s="5"/>
      <c r="G51" s="5"/>
      <c r="H51" s="5"/>
      <c r="I51" s="5"/>
      <c r="J51" s="5"/>
      <c r="K51" s="5"/>
    </row>
    <row r="52" spans="2:11" ht="15.75" thickBot="1" x14ac:dyDescent="0.3">
      <c r="B52" s="1"/>
      <c r="C52" s="76"/>
      <c r="D52" s="5"/>
      <c r="E52" s="5"/>
      <c r="F52" s="5"/>
      <c r="G52" s="5"/>
      <c r="H52" s="5"/>
      <c r="I52" s="5"/>
      <c r="J52" s="5"/>
      <c r="K52" s="5"/>
    </row>
    <row r="53" spans="2:11" ht="15.75" thickBot="1" x14ac:dyDescent="0.3">
      <c r="B53" s="971" t="s">
        <v>679</v>
      </c>
      <c r="C53" s="972"/>
      <c r="D53" s="972"/>
      <c r="E53" s="973"/>
      <c r="F53" s="5"/>
      <c r="G53" s="5"/>
      <c r="H53" s="5"/>
      <c r="I53" s="5"/>
      <c r="J53" s="5"/>
      <c r="K53" s="5"/>
    </row>
    <row r="54" spans="2:11" ht="15.75" thickBot="1" x14ac:dyDescent="0.3">
      <c r="B54" s="974">
        <v>1</v>
      </c>
      <c r="C54" s="94"/>
      <c r="D54" s="48" t="s">
        <v>676</v>
      </c>
      <c r="E54" s="219" t="s">
        <v>680</v>
      </c>
      <c r="F54" s="5"/>
      <c r="G54" s="5"/>
      <c r="H54" s="5"/>
      <c r="I54" s="5"/>
      <c r="J54" s="5"/>
      <c r="K54" s="5"/>
    </row>
    <row r="55" spans="2:11" ht="15.75" thickBot="1" x14ac:dyDescent="0.3">
      <c r="B55" s="975"/>
      <c r="C55" s="94"/>
      <c r="D55" s="40" t="s">
        <v>525</v>
      </c>
      <c r="E55" s="219" t="s">
        <v>681</v>
      </c>
      <c r="F55" s="5"/>
      <c r="G55" s="5"/>
      <c r="H55" s="5"/>
      <c r="I55" s="5"/>
      <c r="J55" s="5"/>
      <c r="K55" s="5"/>
    </row>
    <row r="56" spans="2:11" ht="15.75" thickBot="1" x14ac:dyDescent="0.3">
      <c r="B56" s="975"/>
      <c r="C56" s="94"/>
      <c r="D56" s="40" t="s">
        <v>677</v>
      </c>
      <c r="E56" s="239"/>
      <c r="F56" s="5"/>
      <c r="G56" s="5"/>
      <c r="H56" s="5"/>
      <c r="I56" s="5"/>
      <c r="J56" s="5"/>
      <c r="K56" s="5"/>
    </row>
    <row r="57" spans="2:11" ht="15.75" thickBot="1" x14ac:dyDescent="0.3">
      <c r="B57" s="975"/>
      <c r="C57" s="94"/>
      <c r="D57" s="40" t="s">
        <v>527</v>
      </c>
      <c r="E57" s="239"/>
      <c r="F57" s="5"/>
      <c r="G57" s="5"/>
      <c r="H57" s="5"/>
      <c r="I57" s="5"/>
      <c r="J57" s="5"/>
      <c r="K57" s="5"/>
    </row>
    <row r="58" spans="2:11" ht="15.75" thickBot="1" x14ac:dyDescent="0.3">
      <c r="B58" s="975"/>
      <c r="C58" s="94"/>
      <c r="D58" s="40" t="s">
        <v>529</v>
      </c>
      <c r="E58" s="239"/>
      <c r="F58" s="5"/>
      <c r="G58" s="5"/>
      <c r="H58" s="5"/>
      <c r="I58" s="5"/>
      <c r="J58" s="5"/>
      <c r="K58" s="5"/>
    </row>
    <row r="59" spans="2:11" ht="15.75" thickBot="1" x14ac:dyDescent="0.3">
      <c r="B59" s="975"/>
      <c r="C59" s="94"/>
      <c r="D59" s="40" t="s">
        <v>531</v>
      </c>
      <c r="E59" s="239"/>
      <c r="F59" s="5"/>
      <c r="G59" s="5"/>
      <c r="H59" s="5"/>
      <c r="I59" s="5"/>
      <c r="J59" s="5"/>
      <c r="K59" s="5"/>
    </row>
    <row r="60" spans="2:11" ht="15.75" thickBot="1" x14ac:dyDescent="0.3">
      <c r="B60" s="976"/>
      <c r="C60" s="2"/>
      <c r="D60" s="40" t="s">
        <v>678</v>
      </c>
      <c r="E60" s="239"/>
      <c r="F60" s="5"/>
      <c r="G60" s="5"/>
      <c r="H60" s="5"/>
      <c r="I60" s="5"/>
      <c r="J60" s="5"/>
      <c r="K60" s="5"/>
    </row>
    <row r="61" spans="2:11" ht="15.75" thickBot="1" x14ac:dyDescent="0.3">
      <c r="B61" s="1"/>
      <c r="C61" s="76"/>
      <c r="D61" s="5"/>
      <c r="E61" s="5"/>
      <c r="F61" s="5"/>
      <c r="G61" s="5"/>
      <c r="H61" s="5"/>
      <c r="I61" s="5"/>
      <c r="J61" s="5"/>
      <c r="K61" s="5"/>
    </row>
    <row r="62" spans="2:11" ht="15" customHeight="1" thickBot="1" x14ac:dyDescent="0.3">
      <c r="B62" s="122" t="s">
        <v>682</v>
      </c>
      <c r="C62" s="123"/>
      <c r="D62" s="123"/>
      <c r="E62" s="124"/>
      <c r="F62" s="5"/>
      <c r="G62" s="5"/>
      <c r="H62" s="5"/>
      <c r="I62" s="5"/>
      <c r="J62" s="5"/>
      <c r="K62" s="5"/>
    </row>
    <row r="63" spans="2:11" ht="24.75" thickBot="1" x14ac:dyDescent="0.3">
      <c r="B63" s="47" t="s">
        <v>683</v>
      </c>
      <c r="C63" s="40" t="s">
        <v>684</v>
      </c>
      <c r="D63" s="40" t="s">
        <v>685</v>
      </c>
      <c r="E63" s="40" t="s">
        <v>686</v>
      </c>
      <c r="F63" s="5"/>
      <c r="G63" s="5"/>
      <c r="H63" s="5"/>
      <c r="I63" s="5"/>
      <c r="J63" s="5"/>
    </row>
    <row r="64" spans="2:11" ht="72.75" thickBot="1" x14ac:dyDescent="0.3">
      <c r="B64" s="49">
        <v>42401</v>
      </c>
      <c r="C64" s="40">
        <v>0.01</v>
      </c>
      <c r="D64" s="50" t="s">
        <v>1133</v>
      </c>
      <c r="E64" s="40"/>
      <c r="F64" s="5"/>
      <c r="G64" s="5"/>
      <c r="H64" s="5"/>
      <c r="I64" s="5"/>
      <c r="J64" s="5"/>
    </row>
    <row r="65" spans="2:11" ht="15.75" thickBot="1" x14ac:dyDescent="0.3">
      <c r="B65" s="1"/>
      <c r="C65" s="76"/>
      <c r="D65" s="5"/>
      <c r="E65" s="5"/>
      <c r="F65" s="5"/>
      <c r="G65" s="5"/>
      <c r="H65" s="5"/>
      <c r="I65" s="5"/>
      <c r="J65" s="5"/>
      <c r="K65" s="5"/>
    </row>
    <row r="66" spans="2:11" x14ac:dyDescent="0.25">
      <c r="B66" s="129" t="s">
        <v>593</v>
      </c>
      <c r="C66" s="96"/>
      <c r="D66" s="5"/>
      <c r="E66" s="5"/>
      <c r="F66" s="5"/>
      <c r="G66" s="5"/>
      <c r="H66" s="5"/>
      <c r="I66" s="5"/>
      <c r="J66" s="5"/>
      <c r="K66" s="5"/>
    </row>
    <row r="67" spans="2:11" ht="14.45" customHeight="1" x14ac:dyDescent="0.25">
      <c r="B67" s="1072" t="s">
        <v>1134</v>
      </c>
      <c r="C67" s="1073"/>
      <c r="D67" s="1073"/>
      <c r="E67" s="1073"/>
      <c r="F67" s="1073"/>
      <c r="G67" s="1074"/>
      <c r="H67" s="5"/>
      <c r="I67" s="5"/>
      <c r="J67" s="5"/>
      <c r="K67" s="5"/>
    </row>
    <row r="68" spans="2:11" x14ac:dyDescent="0.25">
      <c r="B68" s="1075"/>
      <c r="C68" s="1076"/>
      <c r="D68" s="1076"/>
      <c r="E68" s="1076"/>
      <c r="F68" s="1076"/>
      <c r="G68" s="1077"/>
      <c r="H68" s="5"/>
      <c r="I68" s="5"/>
      <c r="J68" s="5"/>
      <c r="K68" s="5"/>
    </row>
    <row r="69" spans="2:11" x14ac:dyDescent="0.25">
      <c r="B69" s="161"/>
      <c r="C69" s="162"/>
      <c r="D69" s="162"/>
      <c r="E69" s="162"/>
      <c r="F69" s="162"/>
      <c r="G69" s="163"/>
      <c r="H69" s="5"/>
      <c r="I69" s="5"/>
      <c r="J69" s="5"/>
      <c r="K69" s="5"/>
    </row>
    <row r="70" spans="2:11" ht="15.75" thickBot="1" x14ac:dyDescent="0.3">
      <c r="B70" s="5"/>
      <c r="D70" s="5"/>
      <c r="E70" s="5"/>
      <c r="F70" s="5"/>
      <c r="G70" s="5"/>
      <c r="H70" s="5"/>
      <c r="I70" s="5"/>
      <c r="J70" s="5"/>
      <c r="K70" s="5"/>
    </row>
    <row r="71" spans="2:11" ht="15.75" thickBot="1" x14ac:dyDescent="0.3">
      <c r="B71" s="971" t="s">
        <v>1135</v>
      </c>
      <c r="C71" s="972"/>
      <c r="D71" s="973"/>
      <c r="E71" s="5"/>
      <c r="F71" s="5"/>
      <c r="G71" s="5"/>
      <c r="H71" s="5"/>
      <c r="I71" s="5"/>
      <c r="J71" s="5"/>
      <c r="K71" s="5"/>
    </row>
    <row r="72" spans="2:11" ht="108.75" thickBot="1" x14ac:dyDescent="0.3">
      <c r="B72" s="47" t="s">
        <v>689</v>
      </c>
      <c r="C72" s="2"/>
      <c r="D72" s="40" t="s">
        <v>1136</v>
      </c>
      <c r="E72" s="5"/>
      <c r="F72" s="5"/>
      <c r="G72" s="5"/>
      <c r="H72" s="5"/>
      <c r="I72" s="5"/>
      <c r="J72" s="5"/>
      <c r="K72" s="5"/>
    </row>
    <row r="73" spans="2:11" x14ac:dyDescent="0.25">
      <c r="B73" s="974" t="s">
        <v>691</v>
      </c>
      <c r="C73" s="94"/>
      <c r="D73" s="53" t="s">
        <v>692</v>
      </c>
      <c r="E73" s="5"/>
      <c r="F73" s="5"/>
      <c r="G73" s="5"/>
      <c r="H73" s="5"/>
      <c r="I73" s="5"/>
      <c r="J73" s="5"/>
      <c r="K73" s="5"/>
    </row>
    <row r="74" spans="2:11" ht="120" x14ac:dyDescent="0.25">
      <c r="B74" s="975"/>
      <c r="C74" s="94"/>
      <c r="D74" s="46" t="s">
        <v>1137</v>
      </c>
      <c r="E74" s="5"/>
      <c r="F74" s="5"/>
      <c r="G74" s="5"/>
      <c r="H74" s="5"/>
      <c r="I74" s="5"/>
      <c r="J74" s="5"/>
      <c r="K74" s="5"/>
    </row>
    <row r="75" spans="2:11" x14ac:dyDescent="0.25">
      <c r="B75" s="975"/>
      <c r="C75" s="94"/>
      <c r="D75" s="53" t="s">
        <v>695</v>
      </c>
      <c r="E75" s="5"/>
      <c r="F75" s="5"/>
      <c r="G75" s="5"/>
      <c r="H75" s="5"/>
      <c r="I75" s="5"/>
      <c r="J75" s="5"/>
      <c r="K75" s="5"/>
    </row>
    <row r="76" spans="2:11" x14ac:dyDescent="0.25">
      <c r="B76" s="975"/>
      <c r="C76" s="94"/>
      <c r="D76" s="46" t="s">
        <v>697</v>
      </c>
      <c r="E76" s="5"/>
      <c r="F76" s="5"/>
      <c r="G76" s="5"/>
      <c r="H76" s="5"/>
      <c r="I76" s="5"/>
      <c r="J76" s="5"/>
      <c r="K76" s="5"/>
    </row>
    <row r="77" spans="2:11" x14ac:dyDescent="0.25">
      <c r="B77" s="975"/>
      <c r="C77" s="94"/>
      <c r="D77" s="53" t="s">
        <v>923</v>
      </c>
      <c r="E77" s="5"/>
      <c r="F77" s="5"/>
      <c r="G77" s="5"/>
      <c r="H77" s="5"/>
      <c r="I77" s="5"/>
      <c r="J77" s="5"/>
      <c r="K77" s="5"/>
    </row>
    <row r="78" spans="2:11" ht="36.75" thickBot="1" x14ac:dyDescent="0.3">
      <c r="B78" s="976"/>
      <c r="C78" s="2"/>
      <c r="D78" s="40" t="s">
        <v>1138</v>
      </c>
      <c r="E78" s="5"/>
      <c r="F78" s="5"/>
      <c r="G78" s="5"/>
      <c r="H78" s="5"/>
      <c r="I78" s="5"/>
      <c r="J78" s="5"/>
      <c r="K78" s="5"/>
    </row>
    <row r="79" spans="2:11" x14ac:dyDescent="0.25">
      <c r="B79" s="974" t="s">
        <v>704</v>
      </c>
      <c r="C79" s="99"/>
      <c r="D79" s="974"/>
      <c r="E79" s="5"/>
      <c r="F79" s="5"/>
      <c r="G79" s="5"/>
      <c r="H79" s="5"/>
      <c r="I79" s="5"/>
      <c r="J79" s="5"/>
      <c r="K79" s="5"/>
    </row>
    <row r="80" spans="2:11" ht="15.75" thickBot="1" x14ac:dyDescent="0.3">
      <c r="B80" s="976"/>
      <c r="C80" s="100"/>
      <c r="D80" s="976"/>
      <c r="E80" s="5"/>
      <c r="F80" s="5"/>
      <c r="G80" s="5"/>
      <c r="H80" s="5"/>
      <c r="I80" s="5"/>
      <c r="J80" s="5"/>
      <c r="K80" s="5"/>
    </row>
    <row r="81" spans="2:11" ht="108" x14ac:dyDescent="0.25">
      <c r="B81" s="974" t="s">
        <v>705</v>
      </c>
      <c r="C81" s="94"/>
      <c r="D81" s="46" t="s">
        <v>1025</v>
      </c>
      <c r="E81" s="5"/>
      <c r="F81" s="5"/>
      <c r="G81" s="5"/>
      <c r="H81" s="5"/>
      <c r="I81" s="5"/>
      <c r="J81" s="5"/>
      <c r="K81" s="5"/>
    </row>
    <row r="82" spans="2:11" ht="144" x14ac:dyDescent="0.25">
      <c r="B82" s="975"/>
      <c r="C82" s="94"/>
      <c r="D82" s="46" t="s">
        <v>1026</v>
      </c>
      <c r="E82" s="5"/>
      <c r="F82" s="5"/>
      <c r="G82" s="5"/>
      <c r="H82" s="5"/>
      <c r="I82" s="5"/>
      <c r="J82" s="5"/>
      <c r="K82" s="5"/>
    </row>
    <row r="83" spans="2:11" ht="72" x14ac:dyDescent="0.25">
      <c r="B83" s="975"/>
      <c r="C83" s="94"/>
      <c r="D83" s="46" t="s">
        <v>1028</v>
      </c>
      <c r="E83" s="5"/>
      <c r="F83" s="5"/>
      <c r="G83" s="5"/>
      <c r="H83" s="5"/>
      <c r="I83" s="5"/>
      <c r="J83" s="5"/>
      <c r="K83" s="5"/>
    </row>
    <row r="84" spans="2:11" ht="36" x14ac:dyDescent="0.25">
      <c r="B84" s="975"/>
      <c r="C84" s="94"/>
      <c r="D84" s="46" t="s">
        <v>1139</v>
      </c>
      <c r="E84" s="5"/>
      <c r="F84" s="5"/>
      <c r="G84" s="5"/>
      <c r="H84" s="5"/>
      <c r="I84" s="5"/>
      <c r="J84" s="5"/>
      <c r="K84" s="5"/>
    </row>
    <row r="85" spans="2:11" ht="192.75" thickBot="1" x14ac:dyDescent="0.3">
      <c r="B85" s="976"/>
      <c r="C85" s="2"/>
      <c r="D85" s="40" t="s">
        <v>1140</v>
      </c>
      <c r="E85" s="5"/>
      <c r="F85" s="5"/>
      <c r="G85" s="5"/>
      <c r="H85" s="5"/>
      <c r="I85" s="5"/>
      <c r="J85" s="5"/>
      <c r="K85" s="5"/>
    </row>
    <row r="86" spans="2:11" ht="24" x14ac:dyDescent="0.25">
      <c r="B86" s="974" t="s">
        <v>722</v>
      </c>
      <c r="C86" s="94"/>
      <c r="D86" s="53" t="s">
        <v>1141</v>
      </c>
      <c r="E86" s="5"/>
      <c r="F86" s="5"/>
      <c r="G86" s="5"/>
      <c r="H86" s="5"/>
      <c r="I86" s="5"/>
      <c r="J86" s="5"/>
      <c r="K86" s="5"/>
    </row>
    <row r="87" spans="2:11" x14ac:dyDescent="0.25">
      <c r="B87" s="975"/>
      <c r="C87" s="94"/>
      <c r="D87" s="16"/>
      <c r="E87" s="5"/>
      <c r="F87" s="5"/>
      <c r="G87" s="5"/>
      <c r="H87" s="5"/>
      <c r="I87" s="5"/>
      <c r="J87" s="5"/>
      <c r="K87" s="5"/>
    </row>
    <row r="88" spans="2:11" x14ac:dyDescent="0.25">
      <c r="B88" s="975"/>
      <c r="C88" s="94"/>
      <c r="D88" s="46" t="s">
        <v>723</v>
      </c>
      <c r="E88" s="5"/>
      <c r="F88" s="5"/>
      <c r="G88" s="5"/>
      <c r="H88" s="5"/>
      <c r="I88" s="5"/>
      <c r="J88" s="5"/>
      <c r="K88" s="5"/>
    </row>
    <row r="89" spans="2:11" ht="37.5" x14ac:dyDescent="0.25">
      <c r="B89" s="975"/>
      <c r="C89" s="94"/>
      <c r="D89" s="46" t="s">
        <v>1142</v>
      </c>
      <c r="E89" s="5"/>
      <c r="F89" s="5"/>
      <c r="G89" s="5"/>
      <c r="H89" s="5"/>
      <c r="I89" s="5"/>
      <c r="J89" s="5"/>
      <c r="K89" s="5"/>
    </row>
    <row r="90" spans="2:11" ht="37.5" x14ac:dyDescent="0.25">
      <c r="B90" s="975"/>
      <c r="C90" s="94"/>
      <c r="D90" s="46" t="s">
        <v>1143</v>
      </c>
      <c r="E90" s="5"/>
      <c r="F90" s="5"/>
      <c r="G90" s="5"/>
      <c r="H90" s="5"/>
      <c r="I90" s="5"/>
      <c r="J90" s="5"/>
      <c r="K90" s="5"/>
    </row>
    <row r="91" spans="2:11" ht="49.5" x14ac:dyDescent="0.25">
      <c r="B91" s="975"/>
      <c r="C91" s="94"/>
      <c r="D91" s="46" t="s">
        <v>1144</v>
      </c>
      <c r="E91" s="5"/>
      <c r="F91" s="5"/>
      <c r="G91" s="5"/>
      <c r="H91" s="5"/>
      <c r="I91" s="5"/>
      <c r="J91" s="5"/>
      <c r="K91" s="5"/>
    </row>
    <row r="92" spans="2:11" x14ac:dyDescent="0.25">
      <c r="B92" s="975"/>
      <c r="C92" s="94"/>
      <c r="D92" s="53" t="s">
        <v>866</v>
      </c>
      <c r="E92" s="5"/>
      <c r="F92" s="5"/>
      <c r="G92" s="5"/>
      <c r="H92" s="5"/>
      <c r="I92" s="5"/>
      <c r="J92" s="5"/>
      <c r="K92" s="5"/>
    </row>
    <row r="93" spans="2:11" ht="24" x14ac:dyDescent="0.25">
      <c r="B93" s="975"/>
      <c r="C93" s="94"/>
      <c r="D93" s="53" t="s">
        <v>1145</v>
      </c>
      <c r="E93" s="5"/>
      <c r="F93" s="5"/>
      <c r="G93" s="5"/>
      <c r="H93" s="5"/>
      <c r="I93" s="5"/>
      <c r="J93" s="5"/>
      <c r="K93" s="5"/>
    </row>
    <row r="94" spans="2:11" x14ac:dyDescent="0.25">
      <c r="B94" s="975"/>
      <c r="C94" s="94"/>
      <c r="D94" s="16"/>
      <c r="E94" s="5"/>
      <c r="F94" s="5"/>
      <c r="G94" s="5"/>
      <c r="H94" s="5"/>
      <c r="I94" s="5"/>
      <c r="J94" s="5"/>
      <c r="K94" s="5"/>
    </row>
    <row r="95" spans="2:11" x14ac:dyDescent="0.25">
      <c r="B95" s="975"/>
      <c r="C95" s="94"/>
      <c r="D95" s="46" t="s">
        <v>723</v>
      </c>
      <c r="E95" s="5"/>
      <c r="F95" s="5"/>
      <c r="G95" s="5"/>
      <c r="H95" s="5"/>
      <c r="I95" s="5"/>
      <c r="J95" s="5"/>
      <c r="K95" s="5"/>
    </row>
    <row r="96" spans="2:11" ht="61.5" x14ac:dyDescent="0.25">
      <c r="B96" s="975"/>
      <c r="C96" s="94"/>
      <c r="D96" s="46" t="s">
        <v>1146</v>
      </c>
      <c r="E96" s="5"/>
      <c r="F96" s="5"/>
      <c r="G96" s="5"/>
      <c r="H96" s="5"/>
      <c r="I96" s="5"/>
      <c r="J96" s="5"/>
      <c r="K96" s="5"/>
    </row>
    <row r="97" spans="2:11" ht="38.25" thickBot="1" x14ac:dyDescent="0.3">
      <c r="B97" s="976"/>
      <c r="C97" s="2"/>
      <c r="D97" s="40" t="s">
        <v>1147</v>
      </c>
      <c r="E97" s="5"/>
      <c r="F97" s="5"/>
      <c r="G97" s="5"/>
      <c r="H97" s="5"/>
      <c r="I97" s="5"/>
      <c r="J97" s="5"/>
      <c r="K97" s="5"/>
    </row>
    <row r="98" spans="2:11" x14ac:dyDescent="0.25">
      <c r="B98" s="5"/>
      <c r="D98" s="5"/>
      <c r="E98" s="5"/>
      <c r="F98" s="5"/>
      <c r="G98" s="5"/>
      <c r="H98" s="5"/>
      <c r="I98" s="5"/>
      <c r="J98" s="5"/>
      <c r="K98" s="5"/>
    </row>
    <row r="99" spans="2:11" x14ac:dyDescent="0.25">
      <c r="B99" s="5"/>
      <c r="D99" s="5"/>
      <c r="E99" s="5"/>
      <c r="F99" s="5"/>
      <c r="G99" s="5"/>
      <c r="H99" s="5"/>
      <c r="I99" s="5"/>
      <c r="J99" s="5"/>
      <c r="K99" s="5"/>
    </row>
    <row r="100" spans="2:11" x14ac:dyDescent="0.25">
      <c r="B100" s="5"/>
      <c r="D100" s="5"/>
      <c r="E100" s="5"/>
      <c r="F100" s="5"/>
      <c r="G100" s="5"/>
      <c r="H100" s="5"/>
      <c r="I100" s="5"/>
      <c r="J100" s="5"/>
      <c r="K100" s="5"/>
    </row>
    <row r="101" spans="2:11" x14ac:dyDescent="0.25">
      <c r="B101" s="5"/>
      <c r="D101" s="5"/>
      <c r="E101" s="5"/>
      <c r="F101" s="5"/>
      <c r="G101" s="5"/>
      <c r="H101" s="5"/>
      <c r="I101" s="5"/>
      <c r="J101" s="5"/>
      <c r="K101" s="5"/>
    </row>
    <row r="102" spans="2:11" x14ac:dyDescent="0.25">
      <c r="B102" s="5"/>
      <c r="D102" s="5"/>
      <c r="E102" s="5"/>
      <c r="F102" s="5"/>
      <c r="G102" s="5"/>
      <c r="H102" s="5"/>
      <c r="I102" s="5"/>
      <c r="J102" s="5"/>
      <c r="K102" s="5"/>
    </row>
    <row r="103" spans="2:11" x14ac:dyDescent="0.25">
      <c r="B103" s="5"/>
      <c r="D103" s="5"/>
      <c r="E103" s="5"/>
      <c r="F103" s="5"/>
      <c r="G103" s="5"/>
      <c r="H103" s="5"/>
      <c r="I103" s="5"/>
      <c r="J103" s="5"/>
      <c r="K103" s="5"/>
    </row>
    <row r="104" spans="2:11" x14ac:dyDescent="0.25">
      <c r="B104" s="5"/>
      <c r="D104" s="5"/>
      <c r="E104" s="5"/>
      <c r="F104" s="5"/>
      <c r="G104" s="5"/>
      <c r="H104" s="5"/>
      <c r="I104" s="5"/>
      <c r="J104" s="5"/>
      <c r="K104" s="5"/>
    </row>
    <row r="105" spans="2:11" x14ac:dyDescent="0.25">
      <c r="B105" s="5"/>
      <c r="D105" s="5"/>
      <c r="E105" s="5"/>
      <c r="F105" s="5"/>
      <c r="G105" s="5"/>
      <c r="H105" s="5"/>
      <c r="I105" s="5"/>
      <c r="J105" s="5"/>
      <c r="K105" s="5"/>
    </row>
    <row r="106" spans="2:11" x14ac:dyDescent="0.25">
      <c r="B106" s="5"/>
      <c r="D106" s="5"/>
      <c r="E106" s="5"/>
      <c r="F106" s="5"/>
      <c r="G106" s="5"/>
      <c r="H106" s="5"/>
      <c r="I106" s="5"/>
      <c r="J106" s="5"/>
      <c r="K106" s="5"/>
    </row>
    <row r="107" spans="2:11" x14ac:dyDescent="0.25">
      <c r="B107" s="5"/>
      <c r="D107" s="5"/>
      <c r="E107" s="5"/>
      <c r="F107" s="5"/>
      <c r="G107" s="5"/>
      <c r="H107" s="5"/>
      <c r="I107" s="5"/>
      <c r="J107" s="5"/>
      <c r="K107" s="5"/>
    </row>
    <row r="108" spans="2:11" x14ac:dyDescent="0.25">
      <c r="B108" s="5"/>
      <c r="D108" s="5"/>
      <c r="E108" s="5"/>
      <c r="F108" s="5"/>
      <c r="G108" s="5"/>
      <c r="H108" s="5"/>
      <c r="I108" s="5"/>
      <c r="J108" s="5"/>
      <c r="K108" s="5"/>
    </row>
    <row r="109" spans="2:11" x14ac:dyDescent="0.25">
      <c r="B109" s="5"/>
      <c r="D109" s="5"/>
      <c r="E109" s="5"/>
      <c r="F109" s="5"/>
      <c r="G109" s="5"/>
      <c r="H109" s="5"/>
      <c r="I109" s="5"/>
      <c r="J109" s="5"/>
      <c r="K109" s="5"/>
    </row>
    <row r="110" spans="2:11" x14ac:dyDescent="0.25">
      <c r="B110" s="5"/>
      <c r="D110" s="5"/>
      <c r="E110" s="5"/>
      <c r="F110" s="5"/>
      <c r="G110" s="5"/>
      <c r="H110" s="5"/>
      <c r="I110" s="5"/>
      <c r="J110" s="5"/>
      <c r="K110" s="5"/>
    </row>
    <row r="111" spans="2:11" x14ac:dyDescent="0.25">
      <c r="B111" s="5"/>
      <c r="D111" s="5"/>
      <c r="E111" s="5"/>
      <c r="F111" s="5"/>
      <c r="G111" s="5"/>
      <c r="H111" s="5"/>
      <c r="I111" s="5"/>
      <c r="J111" s="5"/>
      <c r="K111" s="5"/>
    </row>
    <row r="112" spans="2:11" x14ac:dyDescent="0.25">
      <c r="B112" s="5"/>
      <c r="D112" s="5"/>
      <c r="E112" s="5"/>
      <c r="F112" s="5"/>
      <c r="G112" s="5"/>
      <c r="H112" s="5"/>
      <c r="I112" s="5"/>
      <c r="J112" s="5"/>
      <c r="K112" s="5"/>
    </row>
    <row r="113" spans="2:11" x14ac:dyDescent="0.25">
      <c r="B113" s="5"/>
      <c r="D113" s="5"/>
      <c r="E113" s="5"/>
      <c r="F113" s="5"/>
      <c r="G113" s="5"/>
      <c r="H113" s="5"/>
      <c r="I113" s="5"/>
      <c r="J113" s="5"/>
      <c r="K113" s="5"/>
    </row>
    <row r="114" spans="2:11" x14ac:dyDescent="0.25">
      <c r="B114" s="5"/>
      <c r="D114" s="5"/>
      <c r="E114" s="5"/>
      <c r="F114" s="5"/>
      <c r="G114" s="5"/>
      <c r="H114" s="5"/>
      <c r="I114" s="5"/>
      <c r="J114" s="5"/>
      <c r="K114" s="5"/>
    </row>
    <row r="115" spans="2:11" x14ac:dyDescent="0.25">
      <c r="B115" s="5"/>
      <c r="D115" s="5"/>
      <c r="E115" s="5"/>
      <c r="F115" s="5"/>
      <c r="G115" s="5"/>
      <c r="H115" s="5"/>
      <c r="I115" s="5"/>
      <c r="J115" s="5"/>
      <c r="K115" s="5"/>
    </row>
    <row r="116" spans="2:11" x14ac:dyDescent="0.25">
      <c r="B116" s="5"/>
      <c r="D116" s="5"/>
      <c r="E116" s="5"/>
      <c r="F116" s="5"/>
      <c r="G116" s="5"/>
      <c r="H116" s="5"/>
      <c r="I116" s="5"/>
      <c r="J116" s="5"/>
      <c r="K116" s="5"/>
    </row>
    <row r="117" spans="2:11" x14ac:dyDescent="0.25">
      <c r="B117" s="5"/>
      <c r="D117" s="5"/>
      <c r="E117" s="5"/>
      <c r="F117" s="5"/>
      <c r="G117" s="5"/>
      <c r="H117" s="5"/>
      <c r="I117" s="5"/>
      <c r="J117" s="5"/>
      <c r="K117" s="5"/>
    </row>
    <row r="118" spans="2:11" x14ac:dyDescent="0.25">
      <c r="B118" s="5"/>
      <c r="D118" s="5"/>
      <c r="E118" s="5"/>
      <c r="F118" s="5"/>
      <c r="G118" s="5"/>
      <c r="H118" s="5"/>
      <c r="I118" s="5"/>
      <c r="J118" s="5"/>
      <c r="K118" s="5"/>
    </row>
    <row r="119" spans="2:11" x14ac:dyDescent="0.25">
      <c r="B119" s="5"/>
      <c r="D119" s="5"/>
      <c r="E119" s="5"/>
      <c r="F119" s="5"/>
      <c r="G119" s="5"/>
      <c r="H119" s="5"/>
      <c r="I119" s="5"/>
      <c r="J119" s="5"/>
      <c r="K119" s="5"/>
    </row>
    <row r="120" spans="2:11" x14ac:dyDescent="0.25">
      <c r="B120" s="5"/>
      <c r="D120" s="5"/>
      <c r="E120" s="5"/>
      <c r="F120" s="5"/>
      <c r="G120" s="5"/>
      <c r="H120" s="5"/>
      <c r="I120" s="5"/>
      <c r="J120" s="5"/>
      <c r="K120" s="5"/>
    </row>
    <row r="121" spans="2:11" x14ac:dyDescent="0.25">
      <c r="B121" s="5"/>
      <c r="D121" s="5"/>
      <c r="E121" s="5"/>
      <c r="F121" s="5"/>
      <c r="G121" s="5"/>
      <c r="H121" s="5"/>
      <c r="I121" s="5"/>
      <c r="J121" s="5"/>
      <c r="K121" s="5"/>
    </row>
    <row r="122" spans="2:11" x14ac:dyDescent="0.25">
      <c r="B122" s="5"/>
      <c r="D122" s="5"/>
      <c r="E122" s="5"/>
      <c r="F122" s="5"/>
      <c r="G122" s="5"/>
      <c r="H122" s="5"/>
      <c r="I122" s="5"/>
      <c r="J122" s="5"/>
      <c r="K122" s="5"/>
    </row>
    <row r="123" spans="2:11" x14ac:dyDescent="0.25">
      <c r="B123" s="5"/>
      <c r="D123" s="5"/>
      <c r="E123" s="5"/>
      <c r="F123" s="5"/>
      <c r="G123" s="5"/>
      <c r="H123" s="5"/>
      <c r="I123" s="5"/>
      <c r="J123" s="5"/>
      <c r="K123" s="5"/>
    </row>
    <row r="124" spans="2:11" x14ac:dyDescent="0.25">
      <c r="B124" s="5"/>
      <c r="D124" s="5"/>
      <c r="E124" s="5"/>
      <c r="F124" s="5"/>
      <c r="G124" s="5"/>
      <c r="H124" s="5"/>
      <c r="I124" s="5"/>
      <c r="J124" s="5"/>
      <c r="K124" s="5"/>
    </row>
    <row r="125" spans="2:11" x14ac:dyDescent="0.25">
      <c r="B125" s="5"/>
      <c r="D125" s="5"/>
      <c r="E125" s="5"/>
      <c r="F125" s="5"/>
      <c r="G125" s="5"/>
      <c r="H125" s="5"/>
      <c r="I125" s="5"/>
      <c r="J125" s="5"/>
      <c r="K125" s="5"/>
    </row>
    <row r="126" spans="2:11" x14ac:dyDescent="0.25">
      <c r="B126" s="5"/>
      <c r="D126" s="5"/>
      <c r="E126" s="5"/>
      <c r="F126" s="5"/>
      <c r="G126" s="5"/>
      <c r="H126" s="5"/>
      <c r="I126" s="5"/>
      <c r="J126" s="5"/>
      <c r="K126" s="5"/>
    </row>
    <row r="127" spans="2:11" x14ac:dyDescent="0.25">
      <c r="B127" s="5"/>
      <c r="D127" s="5"/>
      <c r="E127" s="5"/>
      <c r="F127" s="5"/>
      <c r="G127" s="5"/>
      <c r="H127" s="5"/>
      <c r="I127" s="5"/>
      <c r="J127" s="5"/>
      <c r="K127" s="5"/>
    </row>
    <row r="128" spans="2:11" x14ac:dyDescent="0.25">
      <c r="B128" s="5"/>
      <c r="D128" s="5"/>
      <c r="E128" s="5"/>
      <c r="F128" s="5"/>
      <c r="G128" s="5"/>
      <c r="H128" s="5"/>
      <c r="I128" s="5"/>
      <c r="J128" s="5"/>
      <c r="K128" s="5"/>
    </row>
    <row r="129" spans="2:11" x14ac:dyDescent="0.25">
      <c r="B129" s="5"/>
      <c r="D129" s="5"/>
      <c r="E129" s="5"/>
      <c r="F129" s="5"/>
      <c r="G129" s="5"/>
      <c r="H129" s="5"/>
      <c r="I129" s="5"/>
      <c r="J129" s="5"/>
      <c r="K129" s="5"/>
    </row>
    <row r="130" spans="2:11" x14ac:dyDescent="0.25">
      <c r="B130" s="5"/>
      <c r="D130" s="5"/>
      <c r="E130" s="5"/>
      <c r="F130" s="5"/>
      <c r="G130" s="5"/>
      <c r="H130" s="5"/>
      <c r="I130" s="5"/>
      <c r="J130" s="5"/>
      <c r="K130" s="5"/>
    </row>
    <row r="131" spans="2:11" x14ac:dyDescent="0.25">
      <c r="B131" s="5"/>
      <c r="D131" s="5"/>
      <c r="E131" s="5"/>
      <c r="F131" s="5"/>
      <c r="G131" s="5"/>
      <c r="H131" s="5"/>
      <c r="I131" s="5"/>
      <c r="J131" s="5"/>
      <c r="K131" s="5"/>
    </row>
    <row r="132" spans="2:11" x14ac:dyDescent="0.25">
      <c r="B132" s="5"/>
      <c r="D132" s="5"/>
      <c r="E132" s="5"/>
      <c r="F132" s="5"/>
      <c r="G132" s="5"/>
      <c r="H132" s="5"/>
      <c r="I132" s="5"/>
      <c r="J132" s="5"/>
      <c r="K132" s="5"/>
    </row>
    <row r="133" spans="2:11" x14ac:dyDescent="0.25">
      <c r="B133" s="5"/>
      <c r="D133" s="5"/>
      <c r="E133" s="5"/>
      <c r="F133" s="5"/>
      <c r="G133" s="5"/>
      <c r="H133" s="5"/>
      <c r="I133" s="5"/>
      <c r="J133" s="5"/>
      <c r="K133" s="5"/>
    </row>
    <row r="134" spans="2:11" x14ac:dyDescent="0.25">
      <c r="B134" s="5"/>
      <c r="D134" s="5"/>
      <c r="E134" s="5"/>
      <c r="F134" s="5"/>
      <c r="G134" s="5"/>
      <c r="H134" s="5"/>
      <c r="I134" s="5"/>
      <c r="J134" s="5"/>
      <c r="K134" s="5"/>
    </row>
    <row r="135" spans="2:11" x14ac:dyDescent="0.25">
      <c r="B135" s="5"/>
      <c r="D135" s="5"/>
      <c r="E135" s="5"/>
      <c r="F135" s="5"/>
      <c r="G135" s="5"/>
      <c r="H135" s="5"/>
      <c r="I135" s="5"/>
      <c r="J135" s="5"/>
      <c r="K135" s="5"/>
    </row>
    <row r="136" spans="2:11" x14ac:dyDescent="0.25">
      <c r="B136" s="5"/>
      <c r="D136" s="5"/>
      <c r="E136" s="5"/>
      <c r="F136" s="5"/>
      <c r="G136" s="5"/>
      <c r="H136" s="5"/>
      <c r="I136" s="5"/>
      <c r="J136" s="5"/>
      <c r="K136" s="5"/>
    </row>
    <row r="137" spans="2:11" x14ac:dyDescent="0.25">
      <c r="B137" s="5"/>
      <c r="D137" s="5"/>
      <c r="E137" s="5"/>
      <c r="F137" s="5"/>
      <c r="G137" s="5"/>
      <c r="H137" s="5"/>
      <c r="I137" s="5"/>
      <c r="J137" s="5"/>
      <c r="K137" s="5"/>
    </row>
    <row r="138" spans="2:11" x14ac:dyDescent="0.25">
      <c r="B138" s="5"/>
      <c r="D138" s="5"/>
      <c r="E138" s="5"/>
      <c r="F138" s="5"/>
      <c r="G138" s="5"/>
      <c r="H138" s="5"/>
      <c r="I138" s="5"/>
      <c r="J138" s="5"/>
      <c r="K138" s="5"/>
    </row>
    <row r="139" spans="2:11" x14ac:dyDescent="0.25">
      <c r="B139" s="5"/>
      <c r="D139" s="5"/>
      <c r="E139" s="5"/>
      <c r="F139" s="5"/>
      <c r="G139" s="5"/>
      <c r="H139" s="5"/>
      <c r="I139" s="5"/>
      <c r="J139" s="5"/>
      <c r="K139" s="5"/>
    </row>
    <row r="140" spans="2:11" x14ac:dyDescent="0.25">
      <c r="B140" s="5"/>
      <c r="D140" s="5"/>
      <c r="E140" s="5"/>
      <c r="F140" s="5"/>
      <c r="G140" s="5"/>
      <c r="H140" s="5"/>
      <c r="I140" s="5"/>
      <c r="J140" s="5"/>
      <c r="K140" s="5"/>
    </row>
    <row r="141" spans="2:11" x14ac:dyDescent="0.25">
      <c r="B141" s="5"/>
      <c r="D141" s="5"/>
      <c r="E141" s="5"/>
      <c r="F141" s="5"/>
      <c r="G141" s="5"/>
      <c r="H141" s="5"/>
      <c r="I141" s="5"/>
      <c r="J141" s="5"/>
      <c r="K141" s="5"/>
    </row>
    <row r="142" spans="2:11" x14ac:dyDescent="0.25">
      <c r="B142" s="5"/>
      <c r="D142" s="5"/>
      <c r="E142" s="5"/>
      <c r="F142" s="5"/>
      <c r="G142" s="5"/>
      <c r="H142" s="5"/>
      <c r="I142" s="5"/>
      <c r="J142" s="5"/>
      <c r="K142" s="5"/>
    </row>
    <row r="143" spans="2:11" x14ac:dyDescent="0.25">
      <c r="B143" s="5"/>
      <c r="D143" s="5"/>
      <c r="E143" s="5"/>
      <c r="F143" s="5"/>
      <c r="G143" s="5"/>
      <c r="H143" s="5"/>
      <c r="I143" s="5"/>
      <c r="J143" s="5"/>
      <c r="K143" s="5"/>
    </row>
    <row r="144" spans="2:11" x14ac:dyDescent="0.25">
      <c r="B144" s="5"/>
      <c r="D144" s="5"/>
      <c r="E144" s="5"/>
      <c r="F144" s="5"/>
      <c r="G144" s="5"/>
      <c r="H144" s="5"/>
      <c r="I144" s="5"/>
      <c r="J144" s="5"/>
      <c r="K144" s="5"/>
    </row>
    <row r="145" spans="2:11" x14ac:dyDescent="0.25">
      <c r="B145" s="5"/>
      <c r="D145" s="5"/>
      <c r="E145" s="5"/>
      <c r="F145" s="5"/>
      <c r="G145" s="5"/>
      <c r="H145" s="5"/>
      <c r="I145" s="5"/>
      <c r="J145" s="5"/>
      <c r="K145" s="5"/>
    </row>
    <row r="146" spans="2:11" x14ac:dyDescent="0.25">
      <c r="B146" s="5"/>
      <c r="D146" s="5"/>
      <c r="E146" s="5"/>
      <c r="F146" s="5"/>
      <c r="G146" s="5"/>
      <c r="H146" s="5"/>
      <c r="I146" s="5"/>
      <c r="J146" s="5"/>
      <c r="K146" s="5"/>
    </row>
    <row r="147" spans="2:11" x14ac:dyDescent="0.25">
      <c r="B147" s="5"/>
      <c r="D147" s="5"/>
      <c r="E147" s="5"/>
      <c r="F147" s="5"/>
      <c r="G147" s="5"/>
      <c r="H147" s="5"/>
      <c r="I147" s="5"/>
      <c r="J147" s="5"/>
      <c r="K147" s="5"/>
    </row>
    <row r="148" spans="2:11" x14ac:dyDescent="0.25">
      <c r="B148" s="5"/>
      <c r="D148" s="5"/>
      <c r="E148" s="5"/>
      <c r="F148" s="5"/>
      <c r="G148" s="5"/>
      <c r="H148" s="5"/>
      <c r="I148" s="5"/>
      <c r="J148" s="5"/>
      <c r="K148" s="5"/>
    </row>
    <row r="149" spans="2:11" x14ac:dyDescent="0.25">
      <c r="B149" s="5"/>
      <c r="D149" s="5"/>
      <c r="E149" s="5"/>
      <c r="F149" s="5"/>
      <c r="G149" s="5"/>
      <c r="H149" s="5"/>
      <c r="I149" s="5"/>
      <c r="J149" s="5"/>
      <c r="K149" s="5"/>
    </row>
    <row r="150" spans="2:11" x14ac:dyDescent="0.25">
      <c r="B150" s="5"/>
      <c r="D150" s="5"/>
      <c r="E150" s="5"/>
      <c r="F150" s="5"/>
      <c r="G150" s="5"/>
      <c r="H150" s="5"/>
      <c r="I150" s="5"/>
      <c r="J150" s="5"/>
      <c r="K150" s="5"/>
    </row>
    <row r="151" spans="2:11" x14ac:dyDescent="0.25">
      <c r="B151" s="5"/>
      <c r="D151" s="5"/>
      <c r="E151" s="5"/>
      <c r="F151" s="5"/>
      <c r="G151" s="5"/>
      <c r="H151" s="5"/>
      <c r="I151" s="5"/>
      <c r="J151" s="5"/>
      <c r="K151" s="5"/>
    </row>
    <row r="152" spans="2:11" x14ac:dyDescent="0.25">
      <c r="B152" s="5"/>
      <c r="D152" s="5"/>
      <c r="E152" s="5"/>
      <c r="F152" s="5"/>
      <c r="G152" s="5"/>
      <c r="H152" s="5"/>
      <c r="I152" s="5"/>
      <c r="J152" s="5"/>
      <c r="K152" s="5"/>
    </row>
    <row r="153" spans="2:11" x14ac:dyDescent="0.25">
      <c r="B153" s="5"/>
      <c r="D153" s="5"/>
      <c r="E153" s="5"/>
      <c r="F153" s="5"/>
      <c r="G153" s="5"/>
      <c r="H153" s="5"/>
      <c r="I153" s="5"/>
      <c r="J153" s="5"/>
      <c r="K153" s="5"/>
    </row>
    <row r="154" spans="2:11" x14ac:dyDescent="0.25">
      <c r="B154" s="5"/>
      <c r="D154" s="5"/>
      <c r="E154" s="5"/>
      <c r="F154" s="5"/>
      <c r="G154" s="5"/>
      <c r="H154" s="5"/>
      <c r="I154" s="5"/>
      <c r="J154" s="5"/>
      <c r="K154" s="5"/>
    </row>
    <row r="155" spans="2:11" x14ac:dyDescent="0.25">
      <c r="B155" s="5"/>
      <c r="D155" s="5"/>
      <c r="E155" s="5"/>
      <c r="F155" s="5"/>
      <c r="G155" s="5"/>
      <c r="H155" s="5"/>
      <c r="I155" s="5"/>
      <c r="J155" s="5"/>
      <c r="K155" s="5"/>
    </row>
    <row r="156" spans="2:11" x14ac:dyDescent="0.25">
      <c r="B156" s="5"/>
      <c r="D156" s="5"/>
      <c r="E156" s="5"/>
      <c r="F156" s="5"/>
      <c r="G156" s="5"/>
      <c r="H156" s="5"/>
      <c r="I156" s="5"/>
      <c r="J156" s="5"/>
      <c r="K156" s="5"/>
    </row>
    <row r="157" spans="2:11" x14ac:dyDescent="0.25">
      <c r="B157" s="5"/>
      <c r="D157" s="5"/>
      <c r="E157" s="5"/>
      <c r="F157" s="5"/>
      <c r="G157" s="5"/>
      <c r="H157" s="5"/>
      <c r="I157" s="5"/>
      <c r="J157" s="5"/>
      <c r="K157" s="5"/>
    </row>
    <row r="158" spans="2:11" x14ac:dyDescent="0.25">
      <c r="B158" s="5"/>
      <c r="D158" s="5"/>
      <c r="E158" s="5"/>
      <c r="F158" s="5"/>
      <c r="G158" s="5"/>
      <c r="H158" s="5"/>
      <c r="I158" s="5"/>
      <c r="J158" s="5"/>
      <c r="K158" s="5"/>
    </row>
    <row r="159" spans="2:11" x14ac:dyDescent="0.25">
      <c r="B159" s="5"/>
      <c r="D159" s="5"/>
      <c r="E159" s="5"/>
      <c r="F159" s="5"/>
      <c r="G159" s="5"/>
      <c r="H159" s="5"/>
      <c r="I159" s="5"/>
      <c r="J159" s="5"/>
      <c r="K159" s="5"/>
    </row>
    <row r="160" spans="2:11" x14ac:dyDescent="0.25">
      <c r="B160" s="5"/>
      <c r="D160" s="5"/>
      <c r="E160" s="5"/>
      <c r="F160" s="5"/>
      <c r="G160" s="5"/>
      <c r="H160" s="5"/>
      <c r="I160" s="5"/>
      <c r="J160" s="5"/>
      <c r="K160" s="5"/>
    </row>
    <row r="161" spans="2:11" x14ac:dyDescent="0.25">
      <c r="B161" s="5"/>
      <c r="D161" s="5"/>
      <c r="E161" s="5"/>
      <c r="F161" s="5"/>
      <c r="G161" s="5"/>
      <c r="H161" s="5"/>
      <c r="I161" s="5"/>
      <c r="J161" s="5"/>
      <c r="K161" s="5"/>
    </row>
    <row r="162" spans="2:11" x14ac:dyDescent="0.25">
      <c r="B162" s="5"/>
      <c r="D162" s="5"/>
      <c r="E162" s="5"/>
      <c r="F162" s="5"/>
      <c r="G162" s="5"/>
      <c r="H162" s="5"/>
      <c r="I162" s="5"/>
      <c r="J162" s="5"/>
      <c r="K162" s="5"/>
    </row>
    <row r="163" spans="2:11" x14ac:dyDescent="0.25">
      <c r="B163" s="5"/>
      <c r="D163" s="5"/>
      <c r="E163" s="5"/>
      <c r="F163" s="5"/>
      <c r="G163" s="5"/>
      <c r="H163" s="5"/>
      <c r="I163" s="5"/>
      <c r="J163" s="5"/>
      <c r="K163" s="5"/>
    </row>
    <row r="164" spans="2:11" x14ac:dyDescent="0.25">
      <c r="B164" s="5"/>
      <c r="D164" s="5"/>
      <c r="E164" s="5"/>
      <c r="F164" s="5"/>
      <c r="G164" s="5"/>
      <c r="H164" s="5"/>
      <c r="I164" s="5"/>
      <c r="J164" s="5"/>
      <c r="K164" s="5"/>
    </row>
    <row r="165" spans="2:11" x14ac:dyDescent="0.25">
      <c r="B165" s="5"/>
      <c r="D165" s="5"/>
      <c r="E165" s="5"/>
      <c r="F165" s="5"/>
      <c r="G165" s="5"/>
      <c r="H165" s="5"/>
      <c r="I165" s="5"/>
      <c r="J165" s="5"/>
      <c r="K165" s="5"/>
    </row>
    <row r="166" spans="2:11" x14ac:dyDescent="0.25">
      <c r="B166" s="5"/>
      <c r="D166" s="5"/>
      <c r="E166" s="5"/>
      <c r="F166" s="5"/>
      <c r="G166" s="5"/>
      <c r="H166" s="5"/>
      <c r="I166" s="5"/>
      <c r="J166" s="5"/>
      <c r="K166" s="5"/>
    </row>
    <row r="167" spans="2:11" x14ac:dyDescent="0.25">
      <c r="B167" s="5"/>
      <c r="D167" s="5"/>
      <c r="E167" s="5"/>
      <c r="F167" s="5"/>
      <c r="G167" s="5"/>
      <c r="H167" s="5"/>
      <c r="I167" s="5"/>
      <c r="J167" s="5"/>
      <c r="K167" s="5"/>
    </row>
    <row r="168" spans="2:11" x14ac:dyDescent="0.25">
      <c r="B168" s="5"/>
      <c r="D168" s="5"/>
      <c r="E168" s="5"/>
      <c r="F168" s="5"/>
      <c r="G168" s="5"/>
      <c r="H168" s="5"/>
      <c r="I168" s="5"/>
      <c r="J168" s="5"/>
      <c r="K168" s="5"/>
    </row>
    <row r="169" spans="2:11" x14ac:dyDescent="0.25">
      <c r="B169" s="5"/>
      <c r="D169" s="5"/>
      <c r="E169" s="5"/>
      <c r="F169" s="5"/>
      <c r="G169" s="5"/>
      <c r="H169" s="5"/>
      <c r="I169" s="5"/>
      <c r="J169" s="5"/>
      <c r="K169" s="5"/>
    </row>
    <row r="170" spans="2:11" x14ac:dyDescent="0.25">
      <c r="B170" s="5"/>
      <c r="D170" s="5"/>
      <c r="E170" s="5"/>
      <c r="F170" s="5"/>
      <c r="G170" s="5"/>
      <c r="H170" s="5"/>
      <c r="I170" s="5"/>
      <c r="J170" s="5"/>
      <c r="K170" s="5"/>
    </row>
    <row r="171" spans="2:11" x14ac:dyDescent="0.25">
      <c r="B171" s="5"/>
      <c r="D171" s="5"/>
      <c r="E171" s="5"/>
      <c r="F171" s="5"/>
      <c r="G171" s="5"/>
      <c r="H171" s="5"/>
      <c r="I171" s="5"/>
      <c r="J171" s="5"/>
      <c r="K171" s="5"/>
    </row>
    <row r="172" spans="2:11" x14ac:dyDescent="0.25">
      <c r="B172" s="5"/>
      <c r="D172" s="5"/>
      <c r="E172" s="5"/>
      <c r="F172" s="5"/>
      <c r="G172" s="5"/>
      <c r="H172" s="5"/>
      <c r="I172" s="5"/>
      <c r="J172" s="5"/>
      <c r="K172" s="5"/>
    </row>
    <row r="173" spans="2:11" x14ac:dyDescent="0.25">
      <c r="B173" s="5"/>
      <c r="D173" s="5"/>
      <c r="E173" s="5"/>
      <c r="F173" s="5"/>
      <c r="G173" s="5"/>
      <c r="H173" s="5"/>
      <c r="I173" s="5"/>
      <c r="J173" s="5"/>
      <c r="K173" s="5"/>
    </row>
    <row r="174" spans="2:11" x14ac:dyDescent="0.25">
      <c r="B174" s="5"/>
      <c r="D174" s="5"/>
      <c r="E174" s="5"/>
      <c r="F174" s="5"/>
      <c r="G174" s="5"/>
      <c r="H174" s="5"/>
      <c r="I174" s="5"/>
      <c r="J174" s="5"/>
      <c r="K174" s="5"/>
    </row>
    <row r="175" spans="2:11" x14ac:dyDescent="0.25">
      <c r="B175" s="5"/>
      <c r="D175" s="5"/>
      <c r="E175" s="5"/>
      <c r="F175" s="5"/>
      <c r="G175" s="5"/>
      <c r="H175" s="5"/>
      <c r="I175" s="5"/>
      <c r="J175" s="5"/>
      <c r="K175" s="5"/>
    </row>
    <row r="176" spans="2:11" x14ac:dyDescent="0.25">
      <c r="B176" s="5"/>
      <c r="D176" s="5"/>
      <c r="E176" s="5"/>
      <c r="F176" s="5"/>
      <c r="G176" s="5"/>
      <c r="H176" s="5"/>
      <c r="I176" s="5"/>
      <c r="J176" s="5"/>
      <c r="K176" s="5"/>
    </row>
    <row r="177" spans="2:11" x14ac:dyDescent="0.25">
      <c r="B177" s="5"/>
      <c r="D177" s="5"/>
      <c r="E177" s="5"/>
      <c r="F177" s="5"/>
      <c r="G177" s="5"/>
      <c r="H177" s="5"/>
      <c r="I177" s="5"/>
      <c r="J177" s="5"/>
      <c r="K177" s="5"/>
    </row>
    <row r="178" spans="2:11" x14ac:dyDescent="0.25">
      <c r="B178" s="5"/>
      <c r="D178" s="5"/>
      <c r="E178" s="5"/>
      <c r="F178" s="5"/>
      <c r="G178" s="5"/>
      <c r="H178" s="5"/>
      <c r="I178" s="5"/>
      <c r="J178" s="5"/>
      <c r="K178" s="5"/>
    </row>
    <row r="179" spans="2:11" x14ac:dyDescent="0.25">
      <c r="B179" s="5"/>
      <c r="D179" s="5"/>
      <c r="E179" s="5"/>
      <c r="F179" s="5"/>
      <c r="G179" s="5"/>
      <c r="H179" s="5"/>
      <c r="I179" s="5"/>
      <c r="J179" s="5"/>
      <c r="K179" s="5"/>
    </row>
    <row r="180" spans="2:11" x14ac:dyDescent="0.25">
      <c r="B180" s="5"/>
      <c r="D180" s="5"/>
      <c r="E180" s="5"/>
      <c r="F180" s="5"/>
      <c r="G180" s="5"/>
      <c r="H180" s="5"/>
      <c r="I180" s="5"/>
      <c r="J180" s="5"/>
      <c r="K180" s="5"/>
    </row>
    <row r="181" spans="2:11" x14ac:dyDescent="0.25">
      <c r="B181" s="5"/>
      <c r="D181" s="5"/>
      <c r="E181" s="5"/>
      <c r="F181" s="5"/>
      <c r="G181" s="5"/>
      <c r="H181" s="5"/>
      <c r="I181" s="5"/>
      <c r="J181" s="5"/>
      <c r="K181" s="5"/>
    </row>
    <row r="182" spans="2:11" x14ac:dyDescent="0.25">
      <c r="B182" s="5"/>
      <c r="D182" s="5"/>
      <c r="E182" s="5"/>
      <c r="F182" s="5"/>
      <c r="G182" s="5"/>
      <c r="H182" s="5"/>
      <c r="I182" s="5"/>
      <c r="J182" s="5"/>
      <c r="K182" s="5"/>
    </row>
    <row r="183" spans="2:11" x14ac:dyDescent="0.25">
      <c r="B183" s="5"/>
      <c r="D183" s="5"/>
      <c r="E183" s="5"/>
      <c r="F183" s="5"/>
      <c r="G183" s="5"/>
      <c r="H183" s="5"/>
      <c r="I183" s="5"/>
      <c r="J183" s="5"/>
      <c r="K183" s="5"/>
    </row>
    <row r="184" spans="2:11" x14ac:dyDescent="0.25">
      <c r="B184" s="5"/>
      <c r="D184" s="5"/>
      <c r="E184" s="5"/>
      <c r="F184" s="5"/>
      <c r="G184" s="5"/>
      <c r="H184" s="5"/>
      <c r="I184" s="5"/>
      <c r="J184" s="5"/>
      <c r="K184" s="5"/>
    </row>
    <row r="185" spans="2:11" x14ac:dyDescent="0.25">
      <c r="B185" s="5"/>
      <c r="D185" s="5"/>
      <c r="E185" s="5"/>
      <c r="F185" s="5"/>
      <c r="G185" s="5"/>
      <c r="H185" s="5"/>
      <c r="I185" s="5"/>
      <c r="J185" s="5"/>
      <c r="K185" s="5"/>
    </row>
    <row r="186" spans="2:11" x14ac:dyDescent="0.25">
      <c r="B186" s="5"/>
      <c r="D186" s="5"/>
      <c r="E186" s="5"/>
      <c r="F186" s="5"/>
      <c r="G186" s="5"/>
      <c r="H186" s="5"/>
      <c r="I186" s="5"/>
      <c r="J186" s="5"/>
      <c r="K186" s="5"/>
    </row>
    <row r="187" spans="2:11" x14ac:dyDescent="0.25">
      <c r="B187" s="5"/>
      <c r="D187" s="5"/>
      <c r="E187" s="5"/>
      <c r="F187" s="5"/>
      <c r="G187" s="5"/>
      <c r="H187" s="5"/>
      <c r="I187" s="5"/>
      <c r="J187" s="5"/>
      <c r="K187" s="5"/>
    </row>
    <row r="188" spans="2:11" x14ac:dyDescent="0.25">
      <c r="B188" s="5"/>
      <c r="D188" s="5"/>
      <c r="E188" s="5"/>
      <c r="F188" s="5"/>
      <c r="G188" s="5"/>
      <c r="H188" s="5"/>
      <c r="I188" s="5"/>
      <c r="J188" s="5"/>
      <c r="K188" s="5"/>
    </row>
    <row r="189" spans="2:11" x14ac:dyDescent="0.25">
      <c r="B189" s="5"/>
      <c r="D189" s="5"/>
      <c r="E189" s="5"/>
      <c r="F189" s="5"/>
      <c r="G189" s="5"/>
      <c r="H189" s="5"/>
      <c r="I189" s="5"/>
      <c r="J189" s="5"/>
      <c r="K189" s="5"/>
    </row>
  </sheetData>
  <mergeCells count="37">
    <mergeCell ref="D41:L41"/>
    <mergeCell ref="D42:L42"/>
    <mergeCell ref="B44:E44"/>
    <mergeCell ref="B45:B51"/>
    <mergeCell ref="B53:E53"/>
    <mergeCell ref="A1:P1"/>
    <mergeCell ref="A2:P2"/>
    <mergeCell ref="A3:P3"/>
    <mergeCell ref="A4:D4"/>
    <mergeCell ref="A5:P5"/>
    <mergeCell ref="B15:B24"/>
    <mergeCell ref="L25:L26"/>
    <mergeCell ref="C25:C26"/>
    <mergeCell ref="D25:D26"/>
    <mergeCell ref="B67:G68"/>
    <mergeCell ref="E25:E26"/>
    <mergeCell ref="F25:F26"/>
    <mergeCell ref="G25:G26"/>
    <mergeCell ref="K25:K26"/>
    <mergeCell ref="D15:L15"/>
    <mergeCell ref="D21:L21"/>
    <mergeCell ref="D22:L22"/>
    <mergeCell ref="D23:L23"/>
    <mergeCell ref="D24:L24"/>
    <mergeCell ref="J25:J26"/>
    <mergeCell ref="B54:B60"/>
    <mergeCell ref="B86:B97"/>
    <mergeCell ref="B71:D71"/>
    <mergeCell ref="B73:B78"/>
    <mergeCell ref="B79:B80"/>
    <mergeCell ref="D79:D80"/>
    <mergeCell ref="B81:B85"/>
    <mergeCell ref="B10:D10"/>
    <mergeCell ref="F10:S10"/>
    <mergeCell ref="F11:S11"/>
    <mergeCell ref="E12:R12"/>
    <mergeCell ref="E13:R13"/>
  </mergeCells>
  <conditionalFormatting sqref="E12:R12">
    <cfRule type="expression" dxfId="77" priority="1">
      <formula>E11="SI SE REPORTA"</formula>
    </cfRule>
  </conditionalFormatting>
  <conditionalFormatting sqref="F10">
    <cfRule type="notContainsBlanks" dxfId="76" priority="4">
      <formula>LEN(TRIM(F10))&gt;0</formula>
    </cfRule>
  </conditionalFormatting>
  <conditionalFormatting sqref="F11:S11">
    <cfRule type="expression" dxfId="75" priority="2">
      <formula>E11="NO SE REPORTA"</formula>
    </cfRule>
    <cfRule type="expression" dxfId="74" priority="3">
      <formula>E10="NO APLICA"</formula>
    </cfRule>
  </conditionalFormatting>
  <dataValidations count="4">
    <dataValidation type="list" allowBlank="1" showInputMessage="1" showErrorMessage="1" sqref="E10" xr:uid="{00000000-0002-0000-1400-000003000000}">
      <formula1>SI</formula1>
    </dataValidation>
    <dataValidation type="list" allowBlank="1" showInputMessage="1" showErrorMessage="1" sqref="E11" xr:uid="{00000000-0002-0000-1400-000002000000}">
      <formula1>REPORTE</formula1>
    </dataValidation>
    <dataValidation type="whole" operator="greaterThanOrEqual" allowBlank="1" showInputMessage="1" showErrorMessage="1" errorTitle="ERROR" error="Valor en PESOS (sin centavos)" sqref="H27:K39" xr:uid="{00000000-0002-0000-1400-000001000000}">
      <formula1>0</formula1>
    </dataValidation>
    <dataValidation type="whole" operator="greaterThanOrEqual" allowBlank="1" showErrorMessage="1" errorTitle="ERROR" error="Escriba un número igual o mayor que 0" promptTitle="ERROR" prompt="Escriba un número igual o mayor que 0" sqref="E17:F19" xr:uid="{00000000-0002-0000-1400-000000000000}">
      <formula1>0</formula1>
    </dataValidation>
  </dataValidations>
  <hyperlinks>
    <hyperlink ref="B9" location="'ANEXO 3'!A1" display="VOLVER AL INDICE" xr:uid="{BCF4F155-986B-47A3-8CBC-E772719614FD}"/>
    <hyperlink ref="E49" r:id="rId1" xr:uid="{D61667C9-10BD-471F-B371-53A9BB880F3B}"/>
  </hyperlinks>
  <pageMargins left="0.25" right="0.25" top="0.75" bottom="0.75" header="0.3" footer="0.3"/>
  <pageSetup paperSize="178" orientation="landscape" horizontalDpi="1200" verticalDpi="1200"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28F7-D506-46FA-9CC9-FA631B220485}">
  <dimension ref="A1:U179"/>
  <sheetViews>
    <sheetView showGridLines="0" topLeftCell="B20" zoomScale="98" zoomScaleNormal="98" workbookViewId="0">
      <selection activeCell="D16" sqref="D16:J18"/>
    </sheetView>
  </sheetViews>
  <sheetFormatPr baseColWidth="10" defaultRowHeight="15" x14ac:dyDescent="0.25"/>
  <cols>
    <col min="1" max="1" width="1.85546875" customWidth="1"/>
    <col min="2" max="2" width="10.85546875" customWidth="1"/>
    <col min="3" max="3" width="5" style="87" bestFit="1" customWidth="1"/>
    <col min="4" max="4" width="34.85546875" customWidth="1"/>
    <col min="5" max="5" width="12.140625" customWidth="1"/>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22</v>
      </c>
      <c r="B5" s="998"/>
      <c r="C5" s="998"/>
      <c r="D5" s="998"/>
      <c r="E5" s="998"/>
      <c r="F5" s="998"/>
      <c r="G5" s="998"/>
      <c r="H5" s="998"/>
      <c r="I5" s="998"/>
      <c r="J5" s="998"/>
      <c r="K5" s="998"/>
      <c r="L5" s="998"/>
      <c r="M5" s="998"/>
      <c r="N5" s="998"/>
      <c r="O5" s="998"/>
      <c r="P5" s="999"/>
    </row>
    <row r="6" spans="1:21" x14ac:dyDescent="0.25">
      <c r="B6" s="1" t="s">
        <v>626</v>
      </c>
      <c r="C6" s="76"/>
      <c r="D6" s="5"/>
      <c r="E6" s="74"/>
      <c r="F6" s="5" t="s">
        <v>627</v>
      </c>
      <c r="G6" s="5"/>
      <c r="H6" s="5"/>
      <c r="I6" s="5"/>
      <c r="J6" s="5"/>
      <c r="K6" s="5"/>
    </row>
    <row r="7" spans="1:21" ht="15.75" thickBot="1" x14ac:dyDescent="0.3">
      <c r="B7" s="75"/>
      <c r="C7" s="77"/>
      <c r="D7" s="5"/>
      <c r="E7" s="17"/>
      <c r="F7" s="5" t="s">
        <v>628</v>
      </c>
      <c r="G7" s="5"/>
      <c r="H7" s="5"/>
      <c r="I7" s="5"/>
      <c r="J7" s="5"/>
      <c r="K7" s="5"/>
    </row>
    <row r="8" spans="1:21" ht="15.75" thickBot="1" x14ac:dyDescent="0.3">
      <c r="B8" s="170" t="s">
        <v>629</v>
      </c>
      <c r="C8" s="211">
        <v>2024</v>
      </c>
      <c r="D8" s="216">
        <f>IF(E10="NO APLICA","NO APLICA",IF(E11="NO SE REPORTA","SIN INFORMACION",+Q22))</f>
        <v>1</v>
      </c>
      <c r="E8" s="212"/>
      <c r="F8" s="5" t="s">
        <v>630</v>
      </c>
      <c r="G8" s="5"/>
      <c r="H8" s="5"/>
      <c r="I8" s="5"/>
      <c r="J8" s="5"/>
      <c r="K8" s="5"/>
    </row>
    <row r="9" spans="1:21" x14ac:dyDescent="0.25">
      <c r="B9" s="358" t="s">
        <v>631</v>
      </c>
      <c r="D9" s="5"/>
      <c r="E9" s="5"/>
      <c r="F9" s="5"/>
      <c r="G9" s="5"/>
      <c r="H9" s="5"/>
      <c r="I9" s="5"/>
      <c r="J9" s="5"/>
      <c r="K9" s="5"/>
    </row>
    <row r="10" spans="1:21" x14ac:dyDescent="0.25">
      <c r="B10" s="1008" t="s">
        <v>632</v>
      </c>
      <c r="C10" s="1008"/>
      <c r="D10" s="1008"/>
      <c r="E10" s="361" t="s">
        <v>633</v>
      </c>
      <c r="F10" s="99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96"/>
      <c r="H10" s="996"/>
      <c r="I10" s="996"/>
      <c r="J10" s="996"/>
      <c r="K10" s="996"/>
      <c r="L10" s="996"/>
      <c r="M10" s="996"/>
      <c r="N10" s="996"/>
      <c r="O10" s="996"/>
      <c r="P10" s="996"/>
      <c r="Q10" s="996"/>
      <c r="R10" s="996"/>
      <c r="S10" s="996"/>
      <c r="T10" s="5"/>
      <c r="U10" s="5"/>
    </row>
    <row r="11" spans="1:21" ht="14.45" customHeight="1" x14ac:dyDescent="0.25">
      <c r="B11" s="360"/>
      <c r="C11" s="88"/>
      <c r="D11" s="171" t="str">
        <f>IF(E10="SI APLICA","¿El indicador no se reporta por limitaciones de información disponible? ","")</f>
        <v xml:space="preserve">¿El indicador no se reporta por limitaciones de información disponible? </v>
      </c>
      <c r="E11" s="362" t="s">
        <v>634</v>
      </c>
      <c r="F11" s="1009"/>
      <c r="G11" s="1010"/>
      <c r="H11" s="1010"/>
      <c r="I11" s="1010"/>
      <c r="J11" s="1010"/>
      <c r="K11" s="1010"/>
      <c r="L11" s="1010"/>
      <c r="M11" s="1010"/>
      <c r="N11" s="1010"/>
      <c r="O11" s="1010"/>
      <c r="P11" s="1010"/>
      <c r="Q11" s="1010"/>
      <c r="R11" s="1010"/>
      <c r="S11" s="1010"/>
    </row>
    <row r="12" spans="1:21" ht="23.45" customHeight="1" x14ac:dyDescent="0.25">
      <c r="B12" s="358"/>
      <c r="C12" s="88"/>
      <c r="D12" s="171" t="str">
        <f>IF(E11="SI SE REPORTA","¿Qué programas o proyectos del Plan de Acción están asociados al indicador? ","")</f>
        <v xml:space="preserve">¿Qué programas o proyectos del Plan de Acción están asociados al indicador? </v>
      </c>
      <c r="E12" s="1011" t="s">
        <v>2319</v>
      </c>
      <c r="F12" s="1011"/>
      <c r="G12" s="1011"/>
      <c r="H12" s="1011"/>
      <c r="I12" s="1011"/>
      <c r="J12" s="1011"/>
      <c r="K12" s="1011"/>
      <c r="L12" s="1011"/>
      <c r="M12" s="1011"/>
      <c r="N12" s="1011"/>
      <c r="O12" s="1011"/>
      <c r="P12" s="1011"/>
      <c r="Q12" s="1011"/>
      <c r="R12" s="1011"/>
    </row>
    <row r="13" spans="1:21" ht="21.95" customHeight="1" x14ac:dyDescent="0.25">
      <c r="B13" s="358"/>
      <c r="C13" s="88"/>
      <c r="D13" s="171" t="s">
        <v>635</v>
      </c>
      <c r="E13" s="1012"/>
      <c r="F13" s="1013"/>
      <c r="G13" s="1013"/>
      <c r="H13" s="1013"/>
      <c r="I13" s="1013"/>
      <c r="J13" s="1013"/>
      <c r="K13" s="1013"/>
      <c r="L13" s="1013"/>
      <c r="M13" s="1013"/>
      <c r="N13" s="1013"/>
      <c r="O13" s="1013"/>
      <c r="P13" s="1013"/>
      <c r="Q13" s="1013"/>
      <c r="R13" s="1014"/>
    </row>
    <row r="14" spans="1:21" ht="6.95" customHeight="1" thickBot="1" x14ac:dyDescent="0.3">
      <c r="B14" s="358"/>
      <c r="D14" s="5"/>
      <c r="E14" s="5"/>
      <c r="F14" s="5"/>
      <c r="G14" s="5"/>
      <c r="H14" s="5"/>
      <c r="I14" s="5"/>
      <c r="J14" s="5"/>
      <c r="K14" s="5"/>
    </row>
    <row r="15" spans="1:21" ht="15.75" thickBot="1" x14ac:dyDescent="0.3">
      <c r="B15" s="1068" t="s">
        <v>636</v>
      </c>
      <c r="C15" s="102"/>
      <c r="D15" s="983" t="s">
        <v>940</v>
      </c>
      <c r="E15" s="984"/>
      <c r="F15" s="984"/>
      <c r="G15" s="984"/>
      <c r="H15" s="984"/>
      <c r="I15" s="984"/>
      <c r="J15" s="984"/>
      <c r="K15" s="984"/>
      <c r="L15" s="1091"/>
      <c r="M15" s="1091"/>
      <c r="N15" s="1091"/>
      <c r="O15" s="1091"/>
      <c r="P15" s="1082"/>
      <c r="Q15" s="1087" t="s">
        <v>764</v>
      </c>
    </row>
    <row r="16" spans="1:21" ht="15.75" thickBot="1" x14ac:dyDescent="0.3">
      <c r="B16" s="1095"/>
      <c r="C16" s="108"/>
      <c r="D16" s="958" t="s">
        <v>763</v>
      </c>
      <c r="E16" s="1084" t="s">
        <v>1148</v>
      </c>
      <c r="F16" s="1093"/>
      <c r="G16" s="1093"/>
      <c r="H16" s="1093"/>
      <c r="I16" s="1093"/>
      <c r="J16" s="1094"/>
      <c r="K16" s="1084" t="s">
        <v>1149</v>
      </c>
      <c r="L16" s="1085"/>
      <c r="M16" s="1085"/>
      <c r="N16" s="1085"/>
      <c r="O16" s="1085"/>
      <c r="P16" s="1086"/>
      <c r="Q16" s="1088"/>
    </row>
    <row r="17" spans="2:17" ht="15.75" thickBot="1" x14ac:dyDescent="0.3">
      <c r="B17" s="1095"/>
      <c r="C17" s="108"/>
      <c r="D17" s="964"/>
      <c r="E17" s="1084" t="s">
        <v>1150</v>
      </c>
      <c r="F17" s="1093"/>
      <c r="G17" s="1094"/>
      <c r="H17" s="1084" t="s">
        <v>1151</v>
      </c>
      <c r="I17" s="1093"/>
      <c r="J17" s="1094"/>
      <c r="K17" s="1084" t="s">
        <v>1150</v>
      </c>
      <c r="L17" s="1085"/>
      <c r="M17" s="1086"/>
      <c r="N17" s="1090" t="s">
        <v>1151</v>
      </c>
      <c r="O17" s="1085"/>
      <c r="P17" s="1086"/>
      <c r="Q17" s="1088"/>
    </row>
    <row r="18" spans="2:17" ht="15.75" thickBot="1" x14ac:dyDescent="0.3">
      <c r="B18" s="1095"/>
      <c r="C18" s="108"/>
      <c r="D18" s="1092"/>
      <c r="E18" s="40" t="s">
        <v>1152</v>
      </c>
      <c r="F18" s="40" t="s">
        <v>1153</v>
      </c>
      <c r="G18" s="40" t="s">
        <v>1154</v>
      </c>
      <c r="H18" s="40" t="s">
        <v>1152</v>
      </c>
      <c r="I18" s="40" t="s">
        <v>1153</v>
      </c>
      <c r="J18" s="40" t="s">
        <v>1154</v>
      </c>
      <c r="K18" s="40" t="s">
        <v>1152</v>
      </c>
      <c r="L18" s="15" t="s">
        <v>1153</v>
      </c>
      <c r="M18" s="15" t="s">
        <v>1154</v>
      </c>
      <c r="N18" s="15" t="s">
        <v>1152</v>
      </c>
      <c r="O18" s="15" t="s">
        <v>1153</v>
      </c>
      <c r="P18" s="15" t="s">
        <v>1154</v>
      </c>
      <c r="Q18" s="1089"/>
    </row>
    <row r="19" spans="2:17" ht="24.75" thickBot="1" x14ac:dyDescent="0.3">
      <c r="B19" s="1095"/>
      <c r="C19" s="108"/>
      <c r="D19" s="40" t="s">
        <v>1155</v>
      </c>
      <c r="E19" s="6"/>
      <c r="F19" s="6">
        <v>4</v>
      </c>
      <c r="G19" s="6">
        <v>1</v>
      </c>
      <c r="H19" s="6">
        <v>4</v>
      </c>
      <c r="I19" s="6">
        <v>3</v>
      </c>
      <c r="J19" s="6">
        <v>9</v>
      </c>
      <c r="K19" s="6"/>
      <c r="L19" s="6"/>
      <c r="M19" s="6"/>
      <c r="N19" s="6"/>
      <c r="O19" s="6"/>
      <c r="P19" s="6"/>
      <c r="Q19" s="302">
        <f>SUM(E19:P19)</f>
        <v>21</v>
      </c>
    </row>
    <row r="20" spans="2:17" ht="36.75" thickBot="1" x14ac:dyDescent="0.3">
      <c r="B20" s="1095"/>
      <c r="C20" s="108"/>
      <c r="D20" s="40" t="s">
        <v>1156</v>
      </c>
      <c r="E20" s="6"/>
      <c r="F20" s="6">
        <v>0</v>
      </c>
      <c r="G20" s="6">
        <v>0</v>
      </c>
      <c r="H20" s="6">
        <v>0</v>
      </c>
      <c r="I20" s="6">
        <v>0</v>
      </c>
      <c r="J20" s="6">
        <v>2</v>
      </c>
      <c r="K20" s="6"/>
      <c r="L20" s="6"/>
      <c r="M20" s="6"/>
      <c r="N20" s="6"/>
      <c r="O20" s="6"/>
      <c r="P20" s="6"/>
      <c r="Q20" s="302">
        <f>SUM(E20:P20)</f>
        <v>2</v>
      </c>
    </row>
    <row r="21" spans="2:17" ht="36.75" thickBot="1" x14ac:dyDescent="0.3">
      <c r="B21" s="1095"/>
      <c r="C21" s="108"/>
      <c r="D21" s="40" t="s">
        <v>1157</v>
      </c>
      <c r="E21" s="6"/>
      <c r="F21" s="6">
        <v>0</v>
      </c>
      <c r="G21" s="6">
        <v>0</v>
      </c>
      <c r="H21" s="6">
        <v>0</v>
      </c>
      <c r="I21" s="6">
        <v>0</v>
      </c>
      <c r="J21" s="6">
        <v>2</v>
      </c>
      <c r="K21" s="6"/>
      <c r="L21" s="6"/>
      <c r="M21" s="6"/>
      <c r="N21" s="6"/>
      <c r="O21" s="6"/>
      <c r="P21" s="6"/>
      <c r="Q21" s="302">
        <f>SUM(E21:P21)</f>
        <v>2</v>
      </c>
    </row>
    <row r="22" spans="2:17" ht="36.75" thickBot="1" x14ac:dyDescent="0.3">
      <c r="B22" s="1095"/>
      <c r="C22" s="108"/>
      <c r="D22" s="40" t="s">
        <v>22</v>
      </c>
      <c r="E22" s="137" t="str">
        <f t="shared" ref="E22:Q22" si="0">IFERROR(E21/E20,"N.A.")</f>
        <v>N.A.</v>
      </c>
      <c r="F22" s="137" t="str">
        <f t="shared" si="0"/>
        <v>N.A.</v>
      </c>
      <c r="G22" s="137" t="str">
        <f t="shared" si="0"/>
        <v>N.A.</v>
      </c>
      <c r="H22" s="137" t="str">
        <f t="shared" si="0"/>
        <v>N.A.</v>
      </c>
      <c r="I22" s="137" t="str">
        <f t="shared" si="0"/>
        <v>N.A.</v>
      </c>
      <c r="J22" s="137">
        <f t="shared" si="0"/>
        <v>1</v>
      </c>
      <c r="K22" s="137" t="str">
        <f t="shared" si="0"/>
        <v>N.A.</v>
      </c>
      <c r="L22" s="137" t="str">
        <f t="shared" si="0"/>
        <v>N.A.</v>
      </c>
      <c r="M22" s="137" t="str">
        <f t="shared" si="0"/>
        <v>N.A.</v>
      </c>
      <c r="N22" s="137" t="str">
        <f t="shared" si="0"/>
        <v>N.A.</v>
      </c>
      <c r="O22" s="137" t="str">
        <f t="shared" si="0"/>
        <v>N.A.</v>
      </c>
      <c r="P22" s="137" t="str">
        <f t="shared" si="0"/>
        <v>N.A.</v>
      </c>
      <c r="Q22" s="137">
        <f t="shared" si="0"/>
        <v>1</v>
      </c>
    </row>
    <row r="23" spans="2:17" x14ac:dyDescent="0.25">
      <c r="B23" s="1095"/>
      <c r="C23" s="103"/>
      <c r="D23" s="956" t="s">
        <v>1158</v>
      </c>
      <c r="E23" s="957"/>
      <c r="F23" s="957"/>
      <c r="G23" s="957"/>
      <c r="H23" s="957"/>
      <c r="I23" s="957"/>
      <c r="J23" s="957"/>
      <c r="K23" s="957"/>
      <c r="L23" s="1096"/>
      <c r="M23" s="1096"/>
      <c r="N23" s="1096"/>
      <c r="O23" s="1096"/>
      <c r="P23" s="1078"/>
    </row>
    <row r="24" spans="2:17" x14ac:dyDescent="0.25">
      <c r="B24" s="1095"/>
      <c r="C24" s="103"/>
      <c r="D24" s="962" t="s">
        <v>1159</v>
      </c>
      <c r="E24" s="963"/>
      <c r="F24" s="963"/>
      <c r="G24" s="963"/>
      <c r="H24" s="963"/>
      <c r="I24" s="963"/>
      <c r="J24" s="963"/>
      <c r="K24" s="963"/>
      <c r="L24" s="1097"/>
      <c r="M24" s="1097"/>
      <c r="N24" s="1097"/>
      <c r="O24" s="1097"/>
      <c r="P24" s="1079"/>
    </row>
    <row r="25" spans="2:17" x14ac:dyDescent="0.25">
      <c r="B25" s="1095"/>
      <c r="C25" s="103"/>
      <c r="D25" s="962" t="s">
        <v>1160</v>
      </c>
      <c r="E25" s="963"/>
      <c r="F25" s="963"/>
      <c r="G25" s="963"/>
      <c r="H25" s="963"/>
      <c r="I25" s="963"/>
      <c r="J25" s="963"/>
      <c r="K25" s="963"/>
      <c r="L25" s="1097"/>
      <c r="M25" s="1097"/>
      <c r="N25" s="1097"/>
      <c r="O25" s="1097"/>
      <c r="P25" s="1079"/>
    </row>
    <row r="26" spans="2:17" x14ac:dyDescent="0.25">
      <c r="B26" s="1095"/>
      <c r="C26" s="103"/>
      <c r="D26" s="959" t="s">
        <v>866</v>
      </c>
      <c r="E26" s="960"/>
      <c r="F26" s="960"/>
      <c r="G26" s="960"/>
      <c r="H26" s="960"/>
      <c r="I26" s="960"/>
      <c r="J26" s="960"/>
      <c r="K26" s="960"/>
      <c r="L26" s="1083"/>
      <c r="M26" s="1083"/>
      <c r="N26" s="1083"/>
      <c r="O26" s="1083"/>
      <c r="P26" s="1080"/>
    </row>
    <row r="27" spans="2:17" x14ac:dyDescent="0.25">
      <c r="B27" s="1095"/>
      <c r="C27" s="103"/>
      <c r="D27" s="959" t="s">
        <v>1161</v>
      </c>
      <c r="E27" s="960"/>
      <c r="F27" s="960"/>
      <c r="G27" s="960"/>
      <c r="H27" s="960"/>
      <c r="I27" s="960"/>
      <c r="J27" s="960"/>
      <c r="K27" s="960"/>
      <c r="L27" s="1083"/>
      <c r="M27" s="1083"/>
      <c r="N27" s="1083"/>
      <c r="O27" s="1083"/>
      <c r="P27" s="1080"/>
    </row>
    <row r="28" spans="2:17" ht="15.75" thickBot="1" x14ac:dyDescent="0.3">
      <c r="B28" s="1095"/>
      <c r="C28" s="103"/>
      <c r="D28" s="962" t="s">
        <v>947</v>
      </c>
      <c r="E28" s="963"/>
      <c r="F28" s="963"/>
      <c r="G28" s="963"/>
      <c r="H28" s="963"/>
      <c r="I28" s="963"/>
      <c r="J28" s="963"/>
      <c r="K28" s="963"/>
      <c r="L28" s="1097"/>
      <c r="M28" s="1097"/>
      <c r="N28" s="1097"/>
      <c r="O28" s="1097"/>
      <c r="P28" s="1079"/>
    </row>
    <row r="29" spans="2:17" ht="21" customHeight="1" x14ac:dyDescent="0.25">
      <c r="B29" s="1095"/>
      <c r="C29" s="1045" t="s">
        <v>585</v>
      </c>
      <c r="D29" s="1087" t="s">
        <v>868</v>
      </c>
      <c r="E29" s="1087" t="s">
        <v>1162</v>
      </c>
      <c r="F29" s="1087" t="s">
        <v>1163</v>
      </c>
      <c r="G29" s="1087" t="s">
        <v>1164</v>
      </c>
      <c r="H29" s="199" t="s">
        <v>1128</v>
      </c>
      <c r="I29" s="199" t="s">
        <v>1129</v>
      </c>
      <c r="J29" s="1087" t="s">
        <v>872</v>
      </c>
      <c r="K29" s="1087" t="s">
        <v>873</v>
      </c>
      <c r="L29" s="1087" t="s">
        <v>593</v>
      </c>
      <c r="P29" s="13"/>
    </row>
    <row r="30" spans="2:17" ht="15.75" thickBot="1" x14ac:dyDescent="0.3">
      <c r="B30" s="1095"/>
      <c r="C30" s="1046"/>
      <c r="D30" s="1089"/>
      <c r="E30" s="1089"/>
      <c r="F30" s="1089"/>
      <c r="G30" s="1089"/>
      <c r="H30" s="200" t="s">
        <v>1130</v>
      </c>
      <c r="I30" s="200" t="s">
        <v>1131</v>
      </c>
      <c r="J30" s="1089"/>
      <c r="K30" s="1089"/>
      <c r="L30" s="1089"/>
      <c r="P30" s="13"/>
    </row>
    <row r="31" spans="2:17" ht="15.75" thickBot="1" x14ac:dyDescent="0.3">
      <c r="B31" s="1095"/>
      <c r="C31" s="271"/>
      <c r="D31" s="29"/>
      <c r="E31" s="29"/>
      <c r="F31" s="29"/>
      <c r="G31" s="29"/>
      <c r="H31" s="186"/>
      <c r="I31" s="186"/>
      <c r="J31" s="186"/>
      <c r="K31" s="186"/>
      <c r="L31" s="186"/>
      <c r="P31" s="13"/>
    </row>
    <row r="32" spans="2:17" ht="15.75" thickBot="1" x14ac:dyDescent="0.3">
      <c r="B32" s="1095"/>
      <c r="C32" s="271"/>
      <c r="D32" s="29"/>
      <c r="E32" s="29"/>
      <c r="F32" s="29"/>
      <c r="G32" s="29"/>
      <c r="H32" s="186"/>
      <c r="I32" s="186"/>
      <c r="J32" s="186"/>
      <c r="K32" s="186"/>
      <c r="L32" s="186"/>
      <c r="P32" s="13"/>
    </row>
    <row r="33" spans="2:16" ht="15.75" thickBot="1" x14ac:dyDescent="0.3">
      <c r="B33" s="1095"/>
      <c r="C33" s="271"/>
      <c r="D33" s="29"/>
      <c r="E33" s="29"/>
      <c r="F33" s="29"/>
      <c r="G33" s="29"/>
      <c r="H33" s="186"/>
      <c r="I33" s="186"/>
      <c r="J33" s="186"/>
      <c r="K33" s="186"/>
      <c r="L33" s="186"/>
      <c r="P33" s="13"/>
    </row>
    <row r="34" spans="2:16" ht="15.75" thickBot="1" x14ac:dyDescent="0.3">
      <c r="B34" s="1095"/>
      <c r="C34" s="271"/>
      <c r="D34" s="29"/>
      <c r="E34" s="29"/>
      <c r="F34" s="29"/>
      <c r="G34" s="29"/>
      <c r="H34" s="186"/>
      <c r="I34" s="186"/>
      <c r="J34" s="186"/>
      <c r="K34" s="186"/>
      <c r="L34" s="186"/>
      <c r="P34" s="13"/>
    </row>
    <row r="35" spans="2:16" ht="15.75" thickBot="1" x14ac:dyDescent="0.3">
      <c r="B35" s="1095"/>
      <c r="C35" s="271"/>
      <c r="D35" s="29"/>
      <c r="E35" s="29"/>
      <c r="F35" s="29"/>
      <c r="G35" s="29"/>
      <c r="H35" s="186"/>
      <c r="I35" s="186"/>
      <c r="J35" s="186"/>
      <c r="K35" s="186"/>
      <c r="L35" s="186"/>
      <c r="P35" s="13"/>
    </row>
    <row r="36" spans="2:16" ht="15.75" thickBot="1" x14ac:dyDescent="0.3">
      <c r="B36" s="1095"/>
      <c r="C36" s="271"/>
      <c r="D36" s="29"/>
      <c r="E36" s="29"/>
      <c r="F36" s="29"/>
      <c r="G36" s="29"/>
      <c r="H36" s="186"/>
      <c r="I36" s="186"/>
      <c r="J36" s="186"/>
      <c r="K36" s="186"/>
      <c r="L36" s="186"/>
      <c r="P36" s="13"/>
    </row>
    <row r="37" spans="2:16" ht="15.75" thickBot="1" x14ac:dyDescent="0.3">
      <c r="B37" s="1095"/>
      <c r="C37" s="271"/>
      <c r="D37" s="29"/>
      <c r="E37" s="29"/>
      <c r="F37" s="29"/>
      <c r="G37" s="29"/>
      <c r="H37" s="186"/>
      <c r="I37" s="186"/>
      <c r="J37" s="186"/>
      <c r="K37" s="186"/>
      <c r="L37" s="186"/>
      <c r="P37" s="13"/>
    </row>
    <row r="38" spans="2:16" ht="15.75" thickBot="1" x14ac:dyDescent="0.3">
      <c r="B38" s="1095"/>
      <c r="C38" s="271"/>
      <c r="D38" s="29"/>
      <c r="E38" s="29"/>
      <c r="F38" s="29"/>
      <c r="G38" s="29"/>
      <c r="H38" s="186"/>
      <c r="I38" s="186"/>
      <c r="J38" s="186"/>
      <c r="K38" s="186"/>
      <c r="L38" s="186"/>
      <c r="P38" s="13"/>
    </row>
    <row r="39" spans="2:16" ht="15.75" thickBot="1" x14ac:dyDescent="0.3">
      <c r="B39" s="1095"/>
      <c r="C39" s="271"/>
      <c r="D39" s="29"/>
      <c r="E39" s="29"/>
      <c r="F39" s="29"/>
      <c r="G39" s="29"/>
      <c r="H39" s="186"/>
      <c r="I39" s="186"/>
      <c r="J39" s="186"/>
      <c r="K39" s="186"/>
      <c r="L39" s="186"/>
      <c r="P39" s="13"/>
    </row>
    <row r="40" spans="2:16" ht="15.75" thickBot="1" x14ac:dyDescent="0.3">
      <c r="B40" s="1069"/>
      <c r="C40" s="110"/>
      <c r="D40" s="39" t="s">
        <v>764</v>
      </c>
      <c r="E40" s="26"/>
      <c r="F40" s="26"/>
      <c r="G40" s="26"/>
      <c r="H40" s="135">
        <f>SUM(H31:H39)</f>
        <v>0</v>
      </c>
      <c r="I40" s="135">
        <f>SUM(I31:I39)</f>
        <v>0</v>
      </c>
      <c r="J40" s="135">
        <f>SUM(J31:J39)</f>
        <v>0</v>
      </c>
      <c r="K40" s="135">
        <f>SUM(K31:K39)</f>
        <v>0</v>
      </c>
      <c r="L40" s="186"/>
      <c r="M40" s="14"/>
      <c r="N40" s="14"/>
      <c r="P40" s="10"/>
    </row>
    <row r="41" spans="2:16" ht="24" customHeight="1" thickBot="1" x14ac:dyDescent="0.3">
      <c r="B41" s="72" t="s">
        <v>671</v>
      </c>
      <c r="C41" s="107"/>
      <c r="D41" s="983" t="s">
        <v>1165</v>
      </c>
      <c r="E41" s="984"/>
      <c r="F41" s="984"/>
      <c r="G41" s="984"/>
      <c r="H41" s="984"/>
      <c r="I41" s="984"/>
      <c r="J41" s="984"/>
      <c r="K41" s="984"/>
      <c r="L41" s="1091"/>
      <c r="M41" s="1091"/>
      <c r="N41" s="1091"/>
      <c r="O41" s="1091"/>
      <c r="P41" s="1082"/>
    </row>
    <row r="42" spans="2:16" ht="23.25" thickBot="1" x14ac:dyDescent="0.3">
      <c r="B42" s="72" t="s">
        <v>673</v>
      </c>
      <c r="C42" s="107"/>
      <c r="D42" s="983" t="s">
        <v>953</v>
      </c>
      <c r="E42" s="984"/>
      <c r="F42" s="984"/>
      <c r="G42" s="984"/>
      <c r="H42" s="984"/>
      <c r="I42" s="984"/>
      <c r="J42" s="984"/>
      <c r="K42" s="984"/>
      <c r="L42" s="1091"/>
      <c r="M42" s="1091"/>
      <c r="N42" s="1091"/>
      <c r="O42" s="1091"/>
      <c r="P42" s="1082"/>
    </row>
    <row r="43" spans="2:16" ht="15.75" thickBot="1" x14ac:dyDescent="0.3">
      <c r="B43" s="1"/>
      <c r="C43" s="76"/>
      <c r="D43" s="5"/>
      <c r="E43" s="5"/>
      <c r="F43" s="5"/>
      <c r="G43" s="5"/>
      <c r="H43" s="5"/>
      <c r="I43" s="5"/>
      <c r="J43" s="5"/>
      <c r="K43" s="5"/>
    </row>
    <row r="44" spans="2:16" ht="24" customHeight="1" thickBot="1" x14ac:dyDescent="0.3">
      <c r="B44" s="971" t="s">
        <v>675</v>
      </c>
      <c r="C44" s="972"/>
      <c r="D44" s="972"/>
      <c r="E44" s="973"/>
      <c r="F44" s="5"/>
      <c r="G44" s="5"/>
      <c r="H44" s="5"/>
      <c r="I44" s="5"/>
      <c r="J44" s="5"/>
      <c r="K44" s="5"/>
    </row>
    <row r="45" spans="2:16" ht="48.75" thickBot="1" x14ac:dyDescent="0.3">
      <c r="B45" s="974">
        <v>1</v>
      </c>
      <c r="C45" s="94"/>
      <c r="D45" s="48" t="s">
        <v>676</v>
      </c>
      <c r="E45" s="337" t="s">
        <v>2301</v>
      </c>
      <c r="F45" s="5"/>
      <c r="G45" s="5"/>
      <c r="H45" s="5"/>
      <c r="I45" s="5"/>
      <c r="J45" s="5"/>
      <c r="K45" s="5"/>
    </row>
    <row r="46" spans="2:16" ht="48.75" thickBot="1" x14ac:dyDescent="0.3">
      <c r="B46" s="975"/>
      <c r="C46" s="94"/>
      <c r="D46" s="40" t="s">
        <v>525</v>
      </c>
      <c r="E46" s="337" t="s">
        <v>2311</v>
      </c>
      <c r="F46" s="5"/>
      <c r="G46" s="5"/>
      <c r="H46" s="5"/>
      <c r="I46" s="5"/>
      <c r="J46" s="5"/>
      <c r="K46" s="5"/>
    </row>
    <row r="47" spans="2:16" ht="36.75" thickBot="1" x14ac:dyDescent="0.3">
      <c r="B47" s="975"/>
      <c r="C47" s="94"/>
      <c r="D47" s="40" t="s">
        <v>677</v>
      </c>
      <c r="E47" s="337" t="s">
        <v>2303</v>
      </c>
      <c r="F47" s="5"/>
      <c r="G47" s="5"/>
      <c r="H47" s="5"/>
      <c r="I47" s="5"/>
      <c r="J47" s="5"/>
      <c r="K47" s="5"/>
    </row>
    <row r="48" spans="2:16" ht="15.75" thickBot="1" x14ac:dyDescent="0.3">
      <c r="B48" s="975"/>
      <c r="C48" s="94"/>
      <c r="D48" s="40" t="s">
        <v>527</v>
      </c>
      <c r="E48" s="337" t="s">
        <v>2304</v>
      </c>
      <c r="F48" s="5"/>
      <c r="G48" s="5"/>
      <c r="H48" s="5"/>
      <c r="I48" s="5"/>
      <c r="J48" s="5"/>
      <c r="K48" s="5"/>
    </row>
    <row r="49" spans="2:11" ht="60.75" thickBot="1" x14ac:dyDescent="0.3">
      <c r="B49" s="975"/>
      <c r="C49" s="94"/>
      <c r="D49" s="40" t="s">
        <v>529</v>
      </c>
      <c r="E49" s="766" t="s">
        <v>2309</v>
      </c>
      <c r="F49" s="5"/>
      <c r="G49" s="5"/>
      <c r="H49" s="5"/>
      <c r="I49" s="5"/>
      <c r="J49" s="5"/>
      <c r="K49" s="5"/>
    </row>
    <row r="50" spans="2:11" ht="15.75" thickBot="1" x14ac:dyDescent="0.3">
      <c r="B50" s="975"/>
      <c r="C50" s="94"/>
      <c r="D50" s="40" t="s">
        <v>531</v>
      </c>
      <c r="E50" s="337">
        <v>5748960</v>
      </c>
      <c r="F50" s="5"/>
      <c r="G50" s="5"/>
      <c r="H50" s="5"/>
      <c r="I50" s="5"/>
      <c r="J50" s="5"/>
      <c r="K50" s="5"/>
    </row>
    <row r="51" spans="2:11" ht="60.75" thickBot="1" x14ac:dyDescent="0.3">
      <c r="B51" s="976"/>
      <c r="C51" s="2"/>
      <c r="D51" s="40" t="s">
        <v>678</v>
      </c>
      <c r="E51" s="337" t="s">
        <v>2312</v>
      </c>
      <c r="F51" s="5"/>
      <c r="G51" s="5"/>
      <c r="H51" s="5"/>
      <c r="I51" s="5"/>
      <c r="J51" s="5"/>
      <c r="K51" s="5"/>
    </row>
    <row r="52" spans="2:11" ht="15.75" thickBot="1" x14ac:dyDescent="0.3">
      <c r="B52" s="1"/>
      <c r="C52" s="76"/>
      <c r="D52" s="5"/>
      <c r="E52" s="5"/>
      <c r="F52" s="5"/>
      <c r="G52" s="5"/>
      <c r="H52" s="5"/>
      <c r="I52" s="5"/>
      <c r="J52" s="5"/>
      <c r="K52" s="5"/>
    </row>
    <row r="53" spans="2:11" ht="15.75" thickBot="1" x14ac:dyDescent="0.3">
      <c r="B53" s="971" t="s">
        <v>679</v>
      </c>
      <c r="C53" s="972"/>
      <c r="D53" s="972"/>
      <c r="E53" s="973"/>
      <c r="F53" s="5"/>
      <c r="G53" s="5"/>
      <c r="H53" s="5"/>
      <c r="I53" s="5"/>
      <c r="J53" s="5"/>
      <c r="K53" s="5"/>
    </row>
    <row r="54" spans="2:11" ht="15.75" thickBot="1" x14ac:dyDescent="0.3">
      <c r="B54" s="974">
        <v>1</v>
      </c>
      <c r="C54" s="94"/>
      <c r="D54" s="48" t="s">
        <v>676</v>
      </c>
      <c r="E54" s="219" t="s">
        <v>1166</v>
      </c>
      <c r="F54" s="5"/>
      <c r="G54" s="5"/>
      <c r="H54" s="5"/>
      <c r="I54" s="5"/>
      <c r="J54" s="5"/>
      <c r="K54" s="5"/>
    </row>
    <row r="55" spans="2:11" ht="15.75" thickBot="1" x14ac:dyDescent="0.3">
      <c r="B55" s="975"/>
      <c r="C55" s="94"/>
      <c r="D55" s="40" t="s">
        <v>525</v>
      </c>
      <c r="E55" s="219" t="s">
        <v>681</v>
      </c>
      <c r="F55" s="5"/>
      <c r="G55" s="5"/>
      <c r="H55" s="5"/>
      <c r="I55" s="5"/>
      <c r="J55" s="5"/>
      <c r="K55" s="5"/>
    </row>
    <row r="56" spans="2:11" ht="15.75" thickBot="1" x14ac:dyDescent="0.3">
      <c r="B56" s="975"/>
      <c r="C56" s="94"/>
      <c r="D56" s="40" t="s">
        <v>677</v>
      </c>
      <c r="E56" s="239"/>
      <c r="F56" s="5"/>
      <c r="G56" s="5"/>
      <c r="H56" s="5"/>
      <c r="I56" s="5"/>
      <c r="J56" s="5"/>
      <c r="K56" s="5"/>
    </row>
    <row r="57" spans="2:11" ht="15.75" thickBot="1" x14ac:dyDescent="0.3">
      <c r="B57" s="975"/>
      <c r="C57" s="94"/>
      <c r="D57" s="40" t="s">
        <v>527</v>
      </c>
      <c r="E57" s="239"/>
      <c r="F57" s="5"/>
      <c r="G57" s="5"/>
      <c r="H57" s="5"/>
      <c r="I57" s="5"/>
      <c r="J57" s="5"/>
      <c r="K57" s="5"/>
    </row>
    <row r="58" spans="2:11" ht="15.75" thickBot="1" x14ac:dyDescent="0.3">
      <c r="B58" s="975"/>
      <c r="C58" s="94"/>
      <c r="D58" s="40" t="s">
        <v>529</v>
      </c>
      <c r="E58" s="239"/>
      <c r="F58" s="5"/>
      <c r="G58" s="5"/>
      <c r="H58" s="5"/>
      <c r="I58" s="5"/>
      <c r="J58" s="5"/>
      <c r="K58" s="5"/>
    </row>
    <row r="59" spans="2:11" ht="15.75" thickBot="1" x14ac:dyDescent="0.3">
      <c r="B59" s="975"/>
      <c r="C59" s="94"/>
      <c r="D59" s="40" t="s">
        <v>531</v>
      </c>
      <c r="E59" s="239"/>
      <c r="F59" s="5"/>
      <c r="G59" s="5"/>
      <c r="H59" s="5"/>
      <c r="I59" s="5"/>
      <c r="J59" s="5"/>
      <c r="K59" s="5"/>
    </row>
    <row r="60" spans="2:11" ht="15.75" thickBot="1" x14ac:dyDescent="0.3">
      <c r="B60" s="976"/>
      <c r="C60" s="2"/>
      <c r="D60" s="40" t="s">
        <v>678</v>
      </c>
      <c r="E60" s="239"/>
      <c r="F60" s="5"/>
      <c r="G60" s="5"/>
      <c r="H60" s="5"/>
      <c r="I60" s="5"/>
      <c r="J60" s="5"/>
      <c r="K60" s="5"/>
    </row>
    <row r="61" spans="2:11" x14ac:dyDescent="0.25">
      <c r="B61" s="1"/>
      <c r="C61" s="76"/>
      <c r="D61" s="5"/>
      <c r="E61" s="5"/>
      <c r="F61" s="5"/>
      <c r="G61" s="5"/>
      <c r="H61" s="5"/>
      <c r="I61" s="5"/>
      <c r="J61" s="5"/>
      <c r="K61" s="5"/>
    </row>
    <row r="62" spans="2:11" ht="15.75" thickBot="1" x14ac:dyDescent="0.3">
      <c r="B62" s="1"/>
      <c r="C62" s="76"/>
      <c r="D62" s="5"/>
      <c r="E62" s="5"/>
      <c r="F62" s="5"/>
      <c r="G62" s="5"/>
      <c r="H62" s="5"/>
      <c r="I62" s="5"/>
      <c r="J62" s="5"/>
      <c r="K62" s="5"/>
    </row>
    <row r="63" spans="2:11" ht="15.75" thickBot="1" x14ac:dyDescent="0.3">
      <c r="B63" s="971" t="s">
        <v>682</v>
      </c>
      <c r="C63" s="972"/>
      <c r="D63" s="972"/>
      <c r="E63" s="972"/>
      <c r="F63" s="973"/>
      <c r="G63" s="5"/>
      <c r="H63" s="5"/>
      <c r="I63" s="5"/>
      <c r="J63" s="5"/>
      <c r="K63" s="5"/>
    </row>
    <row r="64" spans="2:11" ht="24.75" thickBot="1" x14ac:dyDescent="0.3">
      <c r="B64" s="47" t="s">
        <v>683</v>
      </c>
      <c r="C64" s="40" t="s">
        <v>684</v>
      </c>
      <c r="D64" s="40" t="s">
        <v>685</v>
      </c>
      <c r="E64" s="40" t="s">
        <v>686</v>
      </c>
      <c r="F64" s="5"/>
      <c r="G64" s="5"/>
      <c r="H64" s="5"/>
      <c r="I64" s="5"/>
      <c r="J64" s="5"/>
    </row>
    <row r="65" spans="2:11" ht="72.75" thickBot="1" x14ac:dyDescent="0.3">
      <c r="B65" s="49">
        <v>42401</v>
      </c>
      <c r="C65" s="40">
        <v>0.01</v>
      </c>
      <c r="D65" s="50" t="s">
        <v>1167</v>
      </c>
      <c r="E65" s="40"/>
      <c r="F65" s="5"/>
      <c r="G65" s="5"/>
      <c r="H65" s="5"/>
      <c r="I65" s="5"/>
      <c r="J65" s="5"/>
    </row>
    <row r="66" spans="2:11" ht="15.75" thickBot="1" x14ac:dyDescent="0.3">
      <c r="B66" s="3"/>
      <c r="C66" s="95"/>
      <c r="D66" s="5"/>
      <c r="E66" s="5"/>
      <c r="F66" s="5"/>
      <c r="G66" s="5"/>
      <c r="H66" s="5"/>
      <c r="I66" s="5"/>
      <c r="J66" s="5"/>
      <c r="K66" s="5"/>
    </row>
    <row r="67" spans="2:11" ht="24.75" thickBot="1" x14ac:dyDescent="0.3">
      <c r="B67" s="4" t="s">
        <v>593</v>
      </c>
      <c r="C67" s="96"/>
      <c r="D67" s="5"/>
      <c r="E67" s="5"/>
      <c r="F67" s="5"/>
      <c r="G67" s="5"/>
      <c r="H67" s="5"/>
      <c r="I67" s="5"/>
      <c r="J67" s="5"/>
      <c r="K67" s="5"/>
    </row>
    <row r="68" spans="2:11" s="132" customFormat="1" x14ac:dyDescent="0.25">
      <c r="B68" s="1054" t="s">
        <v>1168</v>
      </c>
      <c r="C68" s="1055"/>
      <c r="D68" s="1055"/>
      <c r="E68" s="1055"/>
      <c r="F68" s="1055"/>
      <c r="G68" s="1055"/>
      <c r="H68" s="131"/>
      <c r="I68" s="131"/>
      <c r="J68" s="131"/>
      <c r="K68" s="131"/>
    </row>
    <row r="69" spans="2:11" s="132" customFormat="1" x14ac:dyDescent="0.25">
      <c r="B69" s="1054" t="s">
        <v>1169</v>
      </c>
      <c r="C69" s="1055"/>
      <c r="D69" s="1055"/>
      <c r="E69" s="1055"/>
      <c r="F69" s="1055"/>
      <c r="G69" s="1055"/>
      <c r="H69" s="131"/>
      <c r="I69" s="131"/>
      <c r="J69" s="131"/>
      <c r="K69" s="131"/>
    </row>
    <row r="70" spans="2:11" s="132" customFormat="1" ht="35.450000000000003" customHeight="1" x14ac:dyDescent="0.25">
      <c r="B70" s="1098"/>
      <c r="C70" s="1099"/>
      <c r="D70" s="1099"/>
      <c r="E70" s="1099"/>
      <c r="F70" s="1099"/>
      <c r="G70" s="1099"/>
      <c r="H70" s="131"/>
      <c r="I70" s="131"/>
      <c r="J70" s="131"/>
      <c r="K70" s="131"/>
    </row>
    <row r="71" spans="2:11" ht="15.75" thickBot="1" x14ac:dyDescent="0.3">
      <c r="B71" s="1"/>
      <c r="C71" s="76"/>
      <c r="D71" s="5"/>
      <c r="E71" s="5"/>
      <c r="F71" s="5"/>
      <c r="G71" s="5"/>
      <c r="H71" s="5"/>
      <c r="I71" s="5"/>
      <c r="J71" s="5"/>
      <c r="K71" s="5"/>
    </row>
    <row r="72" spans="2:11" ht="24.75" thickBot="1" x14ac:dyDescent="0.3">
      <c r="B72" s="51" t="s">
        <v>688</v>
      </c>
      <c r="C72" s="97"/>
      <c r="D72" s="5"/>
      <c r="E72" s="5"/>
      <c r="F72" s="5"/>
      <c r="G72" s="5"/>
      <c r="H72" s="5"/>
      <c r="I72" s="5"/>
      <c r="J72" s="5"/>
      <c r="K72" s="5"/>
    </row>
    <row r="73" spans="2:11" ht="15.75" thickBot="1" x14ac:dyDescent="0.3">
      <c r="B73" s="37"/>
      <c r="C73" s="88"/>
      <c r="D73" s="5"/>
      <c r="E73" s="5"/>
      <c r="F73" s="5"/>
      <c r="G73" s="5"/>
      <c r="H73" s="5"/>
      <c r="I73" s="5"/>
      <c r="J73" s="5"/>
      <c r="K73" s="5"/>
    </row>
    <row r="74" spans="2:11" ht="84.75" thickBot="1" x14ac:dyDescent="0.3">
      <c r="B74" s="52" t="s">
        <v>689</v>
      </c>
      <c r="C74" s="98"/>
      <c r="D74" s="43" t="s">
        <v>1170</v>
      </c>
      <c r="E74" s="5"/>
      <c r="F74" s="5"/>
      <c r="G74" s="5"/>
      <c r="H74" s="5"/>
      <c r="I74" s="5"/>
      <c r="J74" s="5"/>
      <c r="K74" s="5"/>
    </row>
    <row r="75" spans="2:11" x14ac:dyDescent="0.25">
      <c r="B75" s="974" t="s">
        <v>691</v>
      </c>
      <c r="C75" s="94"/>
      <c r="D75" s="53" t="s">
        <v>692</v>
      </c>
      <c r="E75" s="5"/>
      <c r="F75" s="5"/>
      <c r="G75" s="5"/>
      <c r="H75" s="5"/>
      <c r="I75" s="5"/>
      <c r="J75" s="5"/>
      <c r="K75" s="5"/>
    </row>
    <row r="76" spans="2:11" ht="120" x14ac:dyDescent="0.25">
      <c r="B76" s="975"/>
      <c r="C76" s="94"/>
      <c r="D76" s="46" t="s">
        <v>1171</v>
      </c>
      <c r="E76" s="5"/>
      <c r="F76" s="5"/>
      <c r="G76" s="5"/>
      <c r="H76" s="5"/>
      <c r="I76" s="5"/>
      <c r="J76" s="5"/>
      <c r="K76" s="5"/>
    </row>
    <row r="77" spans="2:11" x14ac:dyDescent="0.25">
      <c r="B77" s="975"/>
      <c r="C77" s="94"/>
      <c r="D77" s="53" t="s">
        <v>695</v>
      </c>
      <c r="E77" s="5"/>
      <c r="F77" s="5"/>
      <c r="G77" s="5"/>
      <c r="H77" s="5"/>
      <c r="I77" s="5"/>
      <c r="J77" s="5"/>
      <c r="K77" s="5"/>
    </row>
    <row r="78" spans="2:11" ht="72" x14ac:dyDescent="0.25">
      <c r="B78" s="975"/>
      <c r="C78" s="94"/>
      <c r="D78" s="46" t="s">
        <v>1172</v>
      </c>
      <c r="E78" s="5"/>
      <c r="F78" s="5"/>
      <c r="G78" s="5"/>
      <c r="H78" s="5"/>
      <c r="I78" s="5"/>
      <c r="J78" s="5"/>
      <c r="K78" s="5"/>
    </row>
    <row r="79" spans="2:11" x14ac:dyDescent="0.25">
      <c r="B79" s="975"/>
      <c r="C79" s="94"/>
      <c r="D79" s="46" t="s">
        <v>697</v>
      </c>
      <c r="E79" s="5"/>
      <c r="F79" s="5"/>
      <c r="G79" s="5"/>
      <c r="H79" s="5"/>
      <c r="I79" s="5"/>
      <c r="J79" s="5"/>
      <c r="K79" s="5"/>
    </row>
    <row r="80" spans="2:11" x14ac:dyDescent="0.25">
      <c r="B80" s="975"/>
      <c r="C80" s="94"/>
      <c r="D80" s="46" t="s">
        <v>1173</v>
      </c>
      <c r="E80" s="5"/>
      <c r="F80" s="5"/>
      <c r="G80" s="5"/>
      <c r="H80" s="5"/>
      <c r="I80" s="5"/>
      <c r="J80" s="5"/>
      <c r="K80" s="5"/>
    </row>
    <row r="81" spans="2:11" x14ac:dyDescent="0.25">
      <c r="B81" s="975"/>
      <c r="C81" s="94"/>
      <c r="D81" s="46" t="s">
        <v>1174</v>
      </c>
      <c r="E81" s="5"/>
      <c r="F81" s="5"/>
      <c r="G81" s="5"/>
      <c r="H81" s="5"/>
      <c r="I81" s="5"/>
      <c r="J81" s="5"/>
      <c r="K81" s="5"/>
    </row>
    <row r="82" spans="2:11" x14ac:dyDescent="0.25">
      <c r="B82" s="975"/>
      <c r="C82" s="94"/>
      <c r="D82" s="53" t="s">
        <v>923</v>
      </c>
      <c r="E82" s="5"/>
      <c r="F82" s="5"/>
      <c r="G82" s="5"/>
      <c r="H82" s="5"/>
      <c r="I82" s="5"/>
      <c r="J82" s="5"/>
      <c r="K82" s="5"/>
    </row>
    <row r="83" spans="2:11" ht="36.75" thickBot="1" x14ac:dyDescent="0.3">
      <c r="B83" s="976"/>
      <c r="C83" s="2"/>
      <c r="D83" s="40" t="s">
        <v>1138</v>
      </c>
      <c r="E83" s="5"/>
      <c r="F83" s="5"/>
      <c r="G83" s="5"/>
      <c r="H83" s="5"/>
      <c r="I83" s="5"/>
      <c r="J83" s="5"/>
      <c r="K83" s="5"/>
    </row>
    <row r="84" spans="2:11" ht="24.75" thickBot="1" x14ac:dyDescent="0.3">
      <c r="B84" s="47" t="s">
        <v>704</v>
      </c>
      <c r="C84" s="2"/>
      <c r="D84" s="40"/>
      <c r="E84" s="5"/>
      <c r="F84" s="5"/>
      <c r="G84" s="5"/>
      <c r="H84" s="5"/>
      <c r="I84" s="5"/>
      <c r="J84" s="5"/>
      <c r="K84" s="5"/>
    </row>
    <row r="85" spans="2:11" ht="48" x14ac:dyDescent="0.25">
      <c r="B85" s="974" t="s">
        <v>705</v>
      </c>
      <c r="C85" s="94"/>
      <c r="D85" s="46" t="s">
        <v>1175</v>
      </c>
      <c r="E85" s="5"/>
      <c r="F85" s="5"/>
      <c r="G85" s="5"/>
      <c r="H85" s="5"/>
      <c r="I85" s="5"/>
      <c r="J85" s="5"/>
      <c r="K85" s="5"/>
    </row>
    <row r="86" spans="2:11" ht="60" x14ac:dyDescent="0.25">
      <c r="B86" s="975"/>
      <c r="C86" s="94"/>
      <c r="D86" s="25" t="s">
        <v>1176</v>
      </c>
      <c r="E86" s="5"/>
      <c r="F86" s="5"/>
      <c r="G86" s="5"/>
      <c r="H86" s="5"/>
      <c r="I86" s="5"/>
      <c r="J86" s="5"/>
      <c r="K86" s="5"/>
    </row>
    <row r="87" spans="2:11" ht="36" x14ac:dyDescent="0.25">
      <c r="B87" s="975"/>
      <c r="C87" s="94"/>
      <c r="D87" s="25" t="s">
        <v>1177</v>
      </c>
      <c r="E87" s="5"/>
      <c r="F87" s="5"/>
      <c r="G87" s="5"/>
      <c r="H87" s="5"/>
      <c r="I87" s="5"/>
      <c r="J87" s="5"/>
      <c r="K87" s="5"/>
    </row>
    <row r="88" spans="2:11" ht="48" x14ac:dyDescent="0.25">
      <c r="B88" s="975"/>
      <c r="C88" s="94"/>
      <c r="D88" s="25" t="s">
        <v>1178</v>
      </c>
      <c r="E88" s="5"/>
      <c r="F88" s="5"/>
      <c r="G88" s="5"/>
      <c r="H88" s="5"/>
      <c r="I88" s="5"/>
      <c r="J88" s="5"/>
      <c r="K88" s="5"/>
    </row>
    <row r="89" spans="2:11" ht="36" x14ac:dyDescent="0.25">
      <c r="B89" s="975"/>
      <c r="C89" s="94"/>
      <c r="D89" s="25" t="s">
        <v>1179</v>
      </c>
      <c r="E89" s="5"/>
      <c r="F89" s="5"/>
      <c r="G89" s="5"/>
      <c r="H89" s="5"/>
      <c r="I89" s="5"/>
      <c r="J89" s="5"/>
      <c r="K89" s="5"/>
    </row>
    <row r="90" spans="2:11" ht="96" x14ac:dyDescent="0.25">
      <c r="B90" s="975"/>
      <c r="C90" s="94"/>
      <c r="D90" s="46" t="s">
        <v>1180</v>
      </c>
      <c r="E90" s="5"/>
      <c r="F90" s="5"/>
      <c r="G90" s="5"/>
      <c r="H90" s="5"/>
      <c r="I90" s="5"/>
      <c r="J90" s="5"/>
      <c r="K90" s="5"/>
    </row>
    <row r="91" spans="2:11" ht="48" x14ac:dyDescent="0.25">
      <c r="B91" s="975"/>
      <c r="C91" s="94"/>
      <c r="D91" s="46" t="s">
        <v>1181</v>
      </c>
      <c r="E91" s="5"/>
      <c r="F91" s="5"/>
      <c r="G91" s="5"/>
      <c r="H91" s="5"/>
      <c r="I91" s="5"/>
      <c r="J91" s="5"/>
      <c r="K91" s="5"/>
    </row>
    <row r="92" spans="2:11" ht="36" x14ac:dyDescent="0.25">
      <c r="B92" s="975"/>
      <c r="C92" s="94"/>
      <c r="D92" s="46" t="s">
        <v>1182</v>
      </c>
      <c r="E92" s="5"/>
      <c r="F92" s="5"/>
      <c r="G92" s="5"/>
      <c r="H92" s="5"/>
      <c r="I92" s="5"/>
      <c r="J92" s="5"/>
      <c r="K92" s="5"/>
    </row>
    <row r="93" spans="2:11" ht="36" x14ac:dyDescent="0.25">
      <c r="B93" s="975"/>
      <c r="C93" s="94"/>
      <c r="D93" s="46" t="s">
        <v>1183</v>
      </c>
      <c r="E93" s="5"/>
      <c r="F93" s="5"/>
      <c r="G93" s="5"/>
      <c r="H93" s="5"/>
      <c r="I93" s="5"/>
      <c r="J93" s="5"/>
      <c r="K93" s="5"/>
    </row>
    <row r="94" spans="2:11" ht="96.75" thickBot="1" x14ac:dyDescent="0.3">
      <c r="B94" s="976"/>
      <c r="C94" s="2"/>
      <c r="D94" s="40" t="s">
        <v>1184</v>
      </c>
      <c r="E94" s="5"/>
      <c r="F94" s="5"/>
      <c r="G94" s="5"/>
      <c r="H94" s="5"/>
      <c r="I94" s="5"/>
      <c r="J94" s="5"/>
      <c r="K94" s="5"/>
    </row>
    <row r="95" spans="2:11" ht="24" x14ac:dyDescent="0.25">
      <c r="B95" s="974" t="s">
        <v>722</v>
      </c>
      <c r="C95" s="94"/>
      <c r="D95" s="53" t="s">
        <v>1185</v>
      </c>
      <c r="E95" s="5"/>
      <c r="F95" s="5"/>
      <c r="G95" s="5"/>
      <c r="H95" s="5"/>
      <c r="I95" s="5"/>
      <c r="J95" s="5"/>
      <c r="K95" s="5"/>
    </row>
    <row r="96" spans="2:11" x14ac:dyDescent="0.25">
      <c r="B96" s="975"/>
      <c r="C96" s="94"/>
      <c r="D96" s="46" t="s">
        <v>1186</v>
      </c>
      <c r="E96" s="5"/>
      <c r="F96" s="5"/>
      <c r="G96" s="5"/>
      <c r="H96" s="5"/>
      <c r="I96" s="5"/>
      <c r="J96" s="5"/>
      <c r="K96" s="5"/>
    </row>
    <row r="97" spans="2:11" x14ac:dyDescent="0.25">
      <c r="B97" s="975"/>
      <c r="C97" s="94"/>
      <c r="D97" s="46" t="s">
        <v>723</v>
      </c>
      <c r="E97" s="5"/>
      <c r="F97" s="5"/>
      <c r="G97" s="5"/>
      <c r="H97" s="5"/>
      <c r="I97" s="5"/>
      <c r="J97" s="5"/>
      <c r="K97" s="5"/>
    </row>
    <row r="98" spans="2:11" ht="49.5" x14ac:dyDescent="0.25">
      <c r="B98" s="975"/>
      <c r="C98" s="94"/>
      <c r="D98" s="46" t="s">
        <v>1187</v>
      </c>
      <c r="E98" s="5"/>
      <c r="F98" s="5"/>
      <c r="G98" s="5"/>
      <c r="H98" s="5"/>
      <c r="I98" s="5"/>
      <c r="J98" s="5"/>
      <c r="K98" s="5"/>
    </row>
    <row r="99" spans="2:11" ht="49.5" x14ac:dyDescent="0.25">
      <c r="B99" s="975"/>
      <c r="C99" s="94"/>
      <c r="D99" s="46" t="s">
        <v>1188</v>
      </c>
      <c r="E99" s="5"/>
      <c r="F99" s="5"/>
      <c r="G99" s="5"/>
      <c r="H99" s="5"/>
      <c r="I99" s="5"/>
      <c r="J99" s="5"/>
      <c r="K99" s="5"/>
    </row>
    <row r="100" spans="2:11" ht="49.5" x14ac:dyDescent="0.25">
      <c r="B100" s="975"/>
      <c r="C100" s="94"/>
      <c r="D100" s="46" t="s">
        <v>1189</v>
      </c>
      <c r="E100" s="5"/>
      <c r="F100" s="5"/>
      <c r="G100" s="5"/>
      <c r="H100" s="5"/>
      <c r="I100" s="5"/>
      <c r="J100" s="5"/>
      <c r="K100" s="5"/>
    </row>
    <row r="101" spans="2:11" x14ac:dyDescent="0.25">
      <c r="B101" s="975"/>
      <c r="C101" s="94"/>
      <c r="D101" s="53" t="s">
        <v>866</v>
      </c>
      <c r="E101" s="5"/>
      <c r="F101" s="5"/>
      <c r="G101" s="5"/>
      <c r="H101" s="5"/>
      <c r="I101" s="5"/>
      <c r="J101" s="5"/>
      <c r="K101" s="5"/>
    </row>
    <row r="102" spans="2:11" ht="36" x14ac:dyDescent="0.25">
      <c r="B102" s="975"/>
      <c r="C102" s="94"/>
      <c r="D102" s="53" t="s">
        <v>1190</v>
      </c>
      <c r="E102" s="5"/>
      <c r="F102" s="5"/>
      <c r="G102" s="5"/>
      <c r="H102" s="5"/>
      <c r="I102" s="5"/>
      <c r="J102" s="5"/>
      <c r="K102" s="5"/>
    </row>
    <row r="103" spans="2:11" x14ac:dyDescent="0.25">
      <c r="B103" s="975"/>
      <c r="C103" s="94"/>
      <c r="D103" s="16"/>
      <c r="E103" s="5"/>
      <c r="F103" s="5"/>
      <c r="G103" s="5"/>
      <c r="H103" s="5"/>
      <c r="I103" s="5"/>
      <c r="J103" s="5"/>
      <c r="K103" s="5"/>
    </row>
    <row r="104" spans="2:11" x14ac:dyDescent="0.25">
      <c r="B104" s="975"/>
      <c r="C104" s="94"/>
      <c r="D104" s="46" t="s">
        <v>723</v>
      </c>
      <c r="E104" s="5"/>
      <c r="F104" s="5"/>
      <c r="G104" s="5"/>
      <c r="H104" s="5"/>
      <c r="I104" s="5"/>
      <c r="J104" s="5"/>
      <c r="K104" s="5"/>
    </row>
    <row r="105" spans="2:11" ht="49.5" x14ac:dyDescent="0.25">
      <c r="B105" s="975"/>
      <c r="C105" s="94"/>
      <c r="D105" s="46" t="s">
        <v>1191</v>
      </c>
      <c r="E105" s="5"/>
      <c r="F105" s="5"/>
      <c r="G105" s="5"/>
      <c r="H105" s="5"/>
      <c r="I105" s="5"/>
      <c r="J105" s="5"/>
      <c r="K105" s="5"/>
    </row>
    <row r="106" spans="2:11" ht="50.25" thickBot="1" x14ac:dyDescent="0.3">
      <c r="B106" s="976"/>
      <c r="C106" s="2"/>
      <c r="D106" s="40" t="s">
        <v>1192</v>
      </c>
      <c r="E106" s="5"/>
      <c r="F106" s="5"/>
      <c r="G106" s="5"/>
      <c r="H106" s="5"/>
      <c r="I106" s="5"/>
      <c r="J106" s="5"/>
      <c r="K106" s="5"/>
    </row>
    <row r="107" spans="2:11" x14ac:dyDescent="0.25">
      <c r="B107" s="5"/>
      <c r="D107" s="5"/>
      <c r="E107" s="5"/>
      <c r="F107" s="5"/>
      <c r="G107" s="5"/>
      <c r="H107" s="5"/>
      <c r="I107" s="5"/>
      <c r="J107" s="5"/>
      <c r="K107" s="5"/>
    </row>
    <row r="108" spans="2:11" x14ac:dyDescent="0.25">
      <c r="B108" s="5"/>
      <c r="D108" s="5"/>
      <c r="E108" s="5"/>
      <c r="F108" s="5"/>
      <c r="G108" s="5"/>
      <c r="H108" s="5"/>
      <c r="I108" s="5"/>
      <c r="J108" s="5"/>
      <c r="K108" s="5"/>
    </row>
    <row r="109" spans="2:11" x14ac:dyDescent="0.25">
      <c r="B109" s="5"/>
      <c r="D109" s="5"/>
      <c r="E109" s="5"/>
      <c r="F109" s="5"/>
      <c r="G109" s="5"/>
      <c r="H109" s="5"/>
      <c r="I109" s="5"/>
      <c r="J109" s="5"/>
      <c r="K109" s="5"/>
    </row>
    <row r="110" spans="2:11" x14ac:dyDescent="0.25">
      <c r="B110" s="5"/>
      <c r="D110" s="5"/>
      <c r="E110" s="5"/>
      <c r="F110" s="5"/>
      <c r="G110" s="5"/>
      <c r="H110" s="5"/>
      <c r="I110" s="5"/>
      <c r="J110" s="5"/>
      <c r="K110" s="5"/>
    </row>
    <row r="111" spans="2:11" x14ac:dyDescent="0.25">
      <c r="B111" s="5"/>
      <c r="D111" s="5"/>
      <c r="E111" s="5"/>
      <c r="F111" s="5"/>
      <c r="G111" s="5"/>
      <c r="H111" s="5"/>
      <c r="I111" s="5"/>
      <c r="J111" s="5"/>
      <c r="K111" s="5"/>
    </row>
    <row r="112" spans="2:11" x14ac:dyDescent="0.25">
      <c r="B112" s="5"/>
      <c r="D112" s="5"/>
      <c r="E112" s="5"/>
      <c r="F112" s="5"/>
      <c r="G112" s="5"/>
      <c r="H112" s="5"/>
      <c r="I112" s="5"/>
      <c r="J112" s="5"/>
      <c r="K112" s="5"/>
    </row>
    <row r="113" spans="2:11" x14ac:dyDescent="0.25">
      <c r="B113" s="5"/>
      <c r="D113" s="5"/>
      <c r="E113" s="5"/>
      <c r="F113" s="5"/>
      <c r="G113" s="5"/>
      <c r="H113" s="5"/>
      <c r="I113" s="5"/>
      <c r="J113" s="5"/>
      <c r="K113" s="5"/>
    </row>
    <row r="114" spans="2:11" x14ac:dyDescent="0.25">
      <c r="B114" s="5"/>
      <c r="D114" s="5"/>
      <c r="E114" s="5"/>
      <c r="F114" s="5"/>
      <c r="G114" s="5"/>
      <c r="H114" s="5"/>
      <c r="I114" s="5"/>
      <c r="J114" s="5"/>
      <c r="K114" s="5"/>
    </row>
    <row r="115" spans="2:11" x14ac:dyDescent="0.25">
      <c r="B115" s="5"/>
      <c r="D115" s="5"/>
      <c r="E115" s="5"/>
      <c r="F115" s="5"/>
      <c r="G115" s="5"/>
      <c r="H115" s="5"/>
      <c r="I115" s="5"/>
      <c r="J115" s="5"/>
      <c r="K115" s="5"/>
    </row>
    <row r="116" spans="2:11" x14ac:dyDescent="0.25">
      <c r="B116" s="5"/>
      <c r="D116" s="5"/>
      <c r="E116" s="5"/>
      <c r="F116" s="5"/>
      <c r="G116" s="5"/>
      <c r="H116" s="5"/>
      <c r="I116" s="5"/>
      <c r="J116" s="5"/>
      <c r="K116" s="5"/>
    </row>
    <row r="117" spans="2:11" x14ac:dyDescent="0.25">
      <c r="B117" s="5"/>
      <c r="D117" s="5"/>
      <c r="E117" s="5"/>
      <c r="F117" s="5"/>
      <c r="G117" s="5"/>
      <c r="H117" s="5"/>
      <c r="I117" s="5"/>
      <c r="J117" s="5"/>
      <c r="K117" s="5"/>
    </row>
    <row r="118" spans="2:11" x14ac:dyDescent="0.25">
      <c r="B118" s="5"/>
      <c r="D118" s="5"/>
      <c r="E118" s="5"/>
      <c r="F118" s="5"/>
      <c r="G118" s="5"/>
      <c r="H118" s="5"/>
      <c r="I118" s="5"/>
      <c r="J118" s="5"/>
      <c r="K118" s="5"/>
    </row>
    <row r="119" spans="2:11" x14ac:dyDescent="0.25">
      <c r="B119" s="5"/>
      <c r="D119" s="5"/>
      <c r="E119" s="5"/>
      <c r="F119" s="5"/>
      <c r="G119" s="5"/>
      <c r="H119" s="5"/>
      <c r="I119" s="5"/>
      <c r="J119" s="5"/>
      <c r="K119" s="5"/>
    </row>
    <row r="120" spans="2:11" x14ac:dyDescent="0.25">
      <c r="B120" s="5"/>
      <c r="D120" s="5"/>
      <c r="E120" s="5"/>
      <c r="F120" s="5"/>
      <c r="G120" s="5"/>
      <c r="H120" s="5"/>
      <c r="I120" s="5"/>
      <c r="J120" s="5"/>
      <c r="K120" s="5"/>
    </row>
    <row r="121" spans="2:11" x14ac:dyDescent="0.25">
      <c r="B121" s="5"/>
      <c r="D121" s="5"/>
      <c r="E121" s="5"/>
      <c r="F121" s="5"/>
      <c r="G121" s="5"/>
      <c r="H121" s="5"/>
      <c r="I121" s="5"/>
      <c r="J121" s="5"/>
      <c r="K121" s="5"/>
    </row>
    <row r="122" spans="2:11" x14ac:dyDescent="0.25">
      <c r="B122" s="5"/>
      <c r="D122" s="5"/>
      <c r="E122" s="5"/>
      <c r="F122" s="5"/>
      <c r="G122" s="5"/>
      <c r="H122" s="5"/>
      <c r="I122" s="5"/>
      <c r="J122" s="5"/>
      <c r="K122" s="5"/>
    </row>
    <row r="123" spans="2:11" x14ac:dyDescent="0.25">
      <c r="B123" s="5"/>
      <c r="D123" s="5"/>
      <c r="E123" s="5"/>
      <c r="F123" s="5"/>
      <c r="G123" s="5"/>
      <c r="H123" s="5"/>
      <c r="I123" s="5"/>
      <c r="J123" s="5"/>
      <c r="K123" s="5"/>
    </row>
    <row r="124" spans="2:11" x14ac:dyDescent="0.25">
      <c r="B124" s="5"/>
      <c r="D124" s="5"/>
      <c r="E124" s="5"/>
      <c r="F124" s="5"/>
      <c r="G124" s="5"/>
      <c r="H124" s="5"/>
      <c r="I124" s="5"/>
      <c r="J124" s="5"/>
      <c r="K124" s="5"/>
    </row>
    <row r="125" spans="2:11" x14ac:dyDescent="0.25">
      <c r="B125" s="5"/>
      <c r="D125" s="5"/>
      <c r="E125" s="5"/>
      <c r="F125" s="5"/>
      <c r="G125" s="5"/>
      <c r="H125" s="5"/>
      <c r="I125" s="5"/>
      <c r="J125" s="5"/>
      <c r="K125" s="5"/>
    </row>
    <row r="126" spans="2:11" x14ac:dyDescent="0.25">
      <c r="B126" s="5"/>
      <c r="D126" s="5"/>
      <c r="E126" s="5"/>
      <c r="F126" s="5"/>
      <c r="G126" s="5"/>
      <c r="H126" s="5"/>
      <c r="I126" s="5"/>
      <c r="J126" s="5"/>
      <c r="K126" s="5"/>
    </row>
    <row r="127" spans="2:11" x14ac:dyDescent="0.25">
      <c r="B127" s="5"/>
      <c r="D127" s="5"/>
      <c r="E127" s="5"/>
      <c r="F127" s="5"/>
      <c r="G127" s="5"/>
      <c r="H127" s="5"/>
      <c r="I127" s="5"/>
      <c r="J127" s="5"/>
      <c r="K127" s="5"/>
    </row>
    <row r="128" spans="2:11" x14ac:dyDescent="0.25">
      <c r="B128" s="5"/>
      <c r="D128" s="5"/>
      <c r="E128" s="5"/>
      <c r="F128" s="5"/>
      <c r="G128" s="5"/>
      <c r="H128" s="5"/>
      <c r="I128" s="5"/>
      <c r="J128" s="5"/>
      <c r="K128" s="5"/>
    </row>
    <row r="129" spans="2:11" x14ac:dyDescent="0.25">
      <c r="B129" s="5"/>
      <c r="D129" s="5"/>
      <c r="E129" s="5"/>
      <c r="F129" s="5"/>
      <c r="G129" s="5"/>
      <c r="H129" s="5"/>
      <c r="I129" s="5"/>
      <c r="J129" s="5"/>
      <c r="K129" s="5"/>
    </row>
    <row r="130" spans="2:11" x14ac:dyDescent="0.25">
      <c r="B130" s="5"/>
      <c r="D130" s="5"/>
      <c r="E130" s="5"/>
      <c r="F130" s="5"/>
      <c r="G130" s="5"/>
      <c r="H130" s="5"/>
      <c r="I130" s="5"/>
      <c r="J130" s="5"/>
      <c r="K130" s="5"/>
    </row>
    <row r="131" spans="2:11" x14ac:dyDescent="0.25">
      <c r="B131" s="5"/>
      <c r="D131" s="5"/>
      <c r="E131" s="5"/>
      <c r="F131" s="5"/>
      <c r="G131" s="5"/>
      <c r="H131" s="5"/>
      <c r="I131" s="5"/>
      <c r="J131" s="5"/>
      <c r="K131" s="5"/>
    </row>
    <row r="132" spans="2:11" x14ac:dyDescent="0.25">
      <c r="B132" s="5"/>
      <c r="D132" s="5"/>
      <c r="E132" s="5"/>
      <c r="F132" s="5"/>
      <c r="G132" s="5"/>
      <c r="H132" s="5"/>
      <c r="I132" s="5"/>
      <c r="J132" s="5"/>
      <c r="K132" s="5"/>
    </row>
    <row r="133" spans="2:11" x14ac:dyDescent="0.25">
      <c r="B133" s="5"/>
      <c r="D133" s="5"/>
      <c r="E133" s="5"/>
      <c r="F133" s="5"/>
      <c r="G133" s="5"/>
      <c r="H133" s="5"/>
      <c r="I133" s="5"/>
      <c r="J133" s="5"/>
      <c r="K133" s="5"/>
    </row>
    <row r="134" spans="2:11" x14ac:dyDescent="0.25">
      <c r="B134" s="5"/>
      <c r="D134" s="5"/>
      <c r="E134" s="5"/>
      <c r="F134" s="5"/>
      <c r="G134" s="5"/>
      <c r="H134" s="5"/>
      <c r="I134" s="5"/>
      <c r="J134" s="5"/>
      <c r="K134" s="5"/>
    </row>
    <row r="135" spans="2:11" x14ac:dyDescent="0.25">
      <c r="B135" s="5"/>
      <c r="D135" s="5"/>
      <c r="E135" s="5"/>
      <c r="F135" s="5"/>
      <c r="G135" s="5"/>
      <c r="H135" s="5"/>
      <c r="I135" s="5"/>
      <c r="J135" s="5"/>
      <c r="K135" s="5"/>
    </row>
    <row r="136" spans="2:11" x14ac:dyDescent="0.25">
      <c r="B136" s="5"/>
      <c r="D136" s="5"/>
      <c r="E136" s="5"/>
      <c r="F136" s="5"/>
      <c r="G136" s="5"/>
      <c r="H136" s="5"/>
      <c r="I136" s="5"/>
      <c r="J136" s="5"/>
      <c r="K136" s="5"/>
    </row>
    <row r="137" spans="2:11" x14ac:dyDescent="0.25">
      <c r="B137" s="5"/>
      <c r="D137" s="5"/>
      <c r="E137" s="5"/>
      <c r="F137" s="5"/>
      <c r="G137" s="5"/>
      <c r="H137" s="5"/>
      <c r="I137" s="5"/>
      <c r="J137" s="5"/>
      <c r="K137" s="5"/>
    </row>
    <row r="138" spans="2:11" x14ac:dyDescent="0.25">
      <c r="B138" s="5"/>
      <c r="D138" s="5"/>
      <c r="E138" s="5"/>
      <c r="F138" s="5"/>
      <c r="G138" s="5"/>
      <c r="H138" s="5"/>
      <c r="I138" s="5"/>
      <c r="J138" s="5"/>
      <c r="K138" s="5"/>
    </row>
    <row r="139" spans="2:11" x14ac:dyDescent="0.25">
      <c r="B139" s="5"/>
      <c r="D139" s="5"/>
      <c r="E139" s="5"/>
      <c r="F139" s="5"/>
      <c r="G139" s="5"/>
      <c r="H139" s="5"/>
      <c r="I139" s="5"/>
      <c r="J139" s="5"/>
      <c r="K139" s="5"/>
    </row>
    <row r="140" spans="2:11" x14ac:dyDescent="0.25">
      <c r="B140" s="5"/>
      <c r="D140" s="5"/>
      <c r="E140" s="5"/>
      <c r="F140" s="5"/>
      <c r="G140" s="5"/>
      <c r="H140" s="5"/>
      <c r="I140" s="5"/>
      <c r="J140" s="5"/>
      <c r="K140" s="5"/>
    </row>
    <row r="141" spans="2:11" x14ac:dyDescent="0.25">
      <c r="B141" s="5"/>
      <c r="D141" s="5"/>
      <c r="E141" s="5"/>
      <c r="F141" s="5"/>
      <c r="G141" s="5"/>
      <c r="H141" s="5"/>
      <c r="I141" s="5"/>
      <c r="J141" s="5"/>
      <c r="K141" s="5"/>
    </row>
    <row r="142" spans="2:11" x14ac:dyDescent="0.25">
      <c r="B142" s="5"/>
      <c r="D142" s="5"/>
      <c r="E142" s="5"/>
      <c r="F142" s="5"/>
      <c r="G142" s="5"/>
      <c r="H142" s="5"/>
      <c r="I142" s="5"/>
      <c r="J142" s="5"/>
      <c r="K142" s="5"/>
    </row>
    <row r="143" spans="2:11" x14ac:dyDescent="0.25">
      <c r="B143" s="5"/>
      <c r="D143" s="5"/>
      <c r="E143" s="5"/>
      <c r="F143" s="5"/>
      <c r="G143" s="5"/>
      <c r="H143" s="5"/>
      <c r="I143" s="5"/>
      <c r="J143" s="5"/>
      <c r="K143" s="5"/>
    </row>
    <row r="144" spans="2:11" x14ac:dyDescent="0.25">
      <c r="B144" s="5"/>
      <c r="D144" s="5"/>
      <c r="E144" s="5"/>
      <c r="F144" s="5"/>
      <c r="G144" s="5"/>
      <c r="H144" s="5"/>
      <c r="I144" s="5"/>
      <c r="J144" s="5"/>
      <c r="K144" s="5"/>
    </row>
    <row r="145" spans="2:11" x14ac:dyDescent="0.25">
      <c r="B145" s="5"/>
      <c r="D145" s="5"/>
      <c r="E145" s="5"/>
      <c r="F145" s="5"/>
      <c r="G145" s="5"/>
      <c r="H145" s="5"/>
      <c r="I145" s="5"/>
      <c r="J145" s="5"/>
      <c r="K145" s="5"/>
    </row>
    <row r="146" spans="2:11" x14ac:dyDescent="0.25">
      <c r="B146" s="5"/>
      <c r="D146" s="5"/>
      <c r="E146" s="5"/>
      <c r="F146" s="5"/>
      <c r="G146" s="5"/>
      <c r="H146" s="5"/>
      <c r="I146" s="5"/>
      <c r="J146" s="5"/>
      <c r="K146" s="5"/>
    </row>
    <row r="147" spans="2:11" x14ac:dyDescent="0.25">
      <c r="B147" s="5"/>
      <c r="D147" s="5"/>
      <c r="E147" s="5"/>
      <c r="F147" s="5"/>
      <c r="G147" s="5"/>
      <c r="H147" s="5"/>
      <c r="I147" s="5"/>
      <c r="J147" s="5"/>
      <c r="K147" s="5"/>
    </row>
    <row r="148" spans="2:11" x14ac:dyDescent="0.25">
      <c r="B148" s="5"/>
      <c r="D148" s="5"/>
      <c r="E148" s="5"/>
      <c r="F148" s="5"/>
      <c r="G148" s="5"/>
      <c r="H148" s="5"/>
      <c r="I148" s="5"/>
      <c r="J148" s="5"/>
      <c r="K148" s="5"/>
    </row>
    <row r="149" spans="2:11" x14ac:dyDescent="0.25">
      <c r="B149" s="5"/>
      <c r="D149" s="5"/>
      <c r="E149" s="5"/>
      <c r="F149" s="5"/>
      <c r="G149" s="5"/>
      <c r="H149" s="5"/>
      <c r="I149" s="5"/>
      <c r="J149" s="5"/>
      <c r="K149" s="5"/>
    </row>
    <row r="150" spans="2:11" x14ac:dyDescent="0.25">
      <c r="B150" s="5"/>
      <c r="D150" s="5"/>
      <c r="E150" s="5"/>
      <c r="F150" s="5"/>
      <c r="G150" s="5"/>
      <c r="H150" s="5"/>
      <c r="I150" s="5"/>
      <c r="J150" s="5"/>
      <c r="K150" s="5"/>
    </row>
    <row r="151" spans="2:11" x14ac:dyDescent="0.25">
      <c r="B151" s="5"/>
      <c r="D151" s="5"/>
      <c r="E151" s="5"/>
      <c r="F151" s="5"/>
      <c r="G151" s="5"/>
      <c r="H151" s="5"/>
      <c r="I151" s="5"/>
      <c r="J151" s="5"/>
      <c r="K151" s="5"/>
    </row>
    <row r="152" spans="2:11" x14ac:dyDescent="0.25">
      <c r="B152" s="5"/>
      <c r="D152" s="5"/>
      <c r="E152" s="5"/>
      <c r="F152" s="5"/>
      <c r="G152" s="5"/>
      <c r="H152" s="5"/>
      <c r="I152" s="5"/>
      <c r="J152" s="5"/>
      <c r="K152" s="5"/>
    </row>
    <row r="153" spans="2:11" x14ac:dyDescent="0.25">
      <c r="B153" s="5"/>
      <c r="D153" s="5"/>
      <c r="E153" s="5"/>
      <c r="F153" s="5"/>
      <c r="G153" s="5"/>
      <c r="H153" s="5"/>
      <c r="I153" s="5"/>
      <c r="J153" s="5"/>
      <c r="K153" s="5"/>
    </row>
    <row r="154" spans="2:11" x14ac:dyDescent="0.25">
      <c r="B154" s="5"/>
      <c r="D154" s="5"/>
      <c r="E154" s="5"/>
      <c r="F154" s="5"/>
      <c r="G154" s="5"/>
      <c r="H154" s="5"/>
      <c r="I154" s="5"/>
      <c r="J154" s="5"/>
      <c r="K154" s="5"/>
    </row>
    <row r="155" spans="2:11" x14ac:dyDescent="0.25">
      <c r="B155" s="5"/>
      <c r="D155" s="5"/>
      <c r="E155" s="5"/>
      <c r="F155" s="5"/>
      <c r="G155" s="5"/>
      <c r="H155" s="5"/>
      <c r="I155" s="5"/>
      <c r="J155" s="5"/>
      <c r="K155" s="5"/>
    </row>
    <row r="156" spans="2:11" x14ac:dyDescent="0.25">
      <c r="B156" s="5"/>
      <c r="D156" s="5"/>
      <c r="E156" s="5"/>
      <c r="F156" s="5"/>
      <c r="G156" s="5"/>
      <c r="H156" s="5"/>
      <c r="I156" s="5"/>
      <c r="J156" s="5"/>
      <c r="K156" s="5"/>
    </row>
    <row r="157" spans="2:11" x14ac:dyDescent="0.25">
      <c r="B157" s="5"/>
      <c r="D157" s="5"/>
      <c r="E157" s="5"/>
      <c r="F157" s="5"/>
      <c r="G157" s="5"/>
      <c r="H157" s="5"/>
      <c r="I157" s="5"/>
      <c r="J157" s="5"/>
      <c r="K157" s="5"/>
    </row>
    <row r="158" spans="2:11" x14ac:dyDescent="0.25">
      <c r="B158" s="5"/>
      <c r="D158" s="5"/>
      <c r="E158" s="5"/>
      <c r="F158" s="5"/>
      <c r="G158" s="5"/>
      <c r="H158" s="5"/>
      <c r="I158" s="5"/>
      <c r="J158" s="5"/>
      <c r="K158" s="5"/>
    </row>
    <row r="159" spans="2:11" x14ac:dyDescent="0.25">
      <c r="B159" s="5"/>
      <c r="D159" s="5"/>
      <c r="E159" s="5"/>
      <c r="F159" s="5"/>
      <c r="G159" s="5"/>
      <c r="H159" s="5"/>
      <c r="I159" s="5"/>
      <c r="J159" s="5"/>
      <c r="K159" s="5"/>
    </row>
    <row r="160" spans="2:11" x14ac:dyDescent="0.25">
      <c r="B160" s="5"/>
      <c r="D160" s="5"/>
      <c r="E160" s="5"/>
      <c r="F160" s="5"/>
      <c r="G160" s="5"/>
      <c r="H160" s="5"/>
      <c r="I160" s="5"/>
      <c r="J160" s="5"/>
      <c r="K160" s="5"/>
    </row>
    <row r="161" spans="2:11" x14ac:dyDescent="0.25">
      <c r="B161" s="5"/>
      <c r="D161" s="5"/>
      <c r="E161" s="5"/>
      <c r="F161" s="5"/>
      <c r="G161" s="5"/>
      <c r="H161" s="5"/>
      <c r="I161" s="5"/>
      <c r="J161" s="5"/>
      <c r="K161" s="5"/>
    </row>
    <row r="162" spans="2:11" x14ac:dyDescent="0.25">
      <c r="B162" s="5"/>
      <c r="D162" s="5"/>
      <c r="E162" s="5"/>
      <c r="F162" s="5"/>
      <c r="G162" s="5"/>
      <c r="H162" s="5"/>
      <c r="I162" s="5"/>
      <c r="J162" s="5"/>
      <c r="K162" s="5"/>
    </row>
    <row r="163" spans="2:11" x14ac:dyDescent="0.25">
      <c r="B163" s="5"/>
      <c r="D163" s="5"/>
      <c r="E163" s="5"/>
      <c r="F163" s="5"/>
      <c r="G163" s="5"/>
      <c r="H163" s="5"/>
      <c r="I163" s="5"/>
      <c r="J163" s="5"/>
      <c r="K163" s="5"/>
    </row>
    <row r="164" spans="2:11" x14ac:dyDescent="0.25">
      <c r="B164" s="5"/>
      <c r="D164" s="5"/>
      <c r="E164" s="5"/>
      <c r="F164" s="5"/>
      <c r="G164" s="5"/>
      <c r="H164" s="5"/>
      <c r="I164" s="5"/>
      <c r="J164" s="5"/>
      <c r="K164" s="5"/>
    </row>
    <row r="165" spans="2:11" x14ac:dyDescent="0.25">
      <c r="B165" s="5"/>
      <c r="D165" s="5"/>
      <c r="E165" s="5"/>
      <c r="F165" s="5"/>
      <c r="G165" s="5"/>
      <c r="H165" s="5"/>
      <c r="I165" s="5"/>
      <c r="J165" s="5"/>
      <c r="K165" s="5"/>
    </row>
    <row r="166" spans="2:11" x14ac:dyDescent="0.25">
      <c r="B166" s="5"/>
      <c r="D166" s="5"/>
      <c r="E166" s="5"/>
      <c r="F166" s="5"/>
      <c r="G166" s="5"/>
      <c r="H166" s="5"/>
      <c r="I166" s="5"/>
      <c r="J166" s="5"/>
      <c r="K166" s="5"/>
    </row>
    <row r="167" spans="2:11" x14ac:dyDescent="0.25">
      <c r="B167" s="5"/>
      <c r="D167" s="5"/>
      <c r="E167" s="5"/>
      <c r="F167" s="5"/>
      <c r="G167" s="5"/>
      <c r="H167" s="5"/>
      <c r="I167" s="5"/>
      <c r="J167" s="5"/>
      <c r="K167" s="5"/>
    </row>
    <row r="168" spans="2:11" x14ac:dyDescent="0.25">
      <c r="B168" s="5"/>
      <c r="D168" s="5"/>
      <c r="E168" s="5"/>
      <c r="F168" s="5"/>
      <c r="G168" s="5"/>
      <c r="H168" s="5"/>
      <c r="I168" s="5"/>
      <c r="J168" s="5"/>
      <c r="K168" s="5"/>
    </row>
    <row r="169" spans="2:11" x14ac:dyDescent="0.25">
      <c r="B169" s="5"/>
      <c r="D169" s="5"/>
      <c r="E169" s="5"/>
      <c r="F169" s="5"/>
      <c r="G169" s="5"/>
      <c r="H169" s="5"/>
      <c r="I169" s="5"/>
      <c r="J169" s="5"/>
      <c r="K169" s="5"/>
    </row>
    <row r="170" spans="2:11" x14ac:dyDescent="0.25">
      <c r="B170" s="5"/>
      <c r="D170" s="5"/>
      <c r="E170" s="5"/>
      <c r="F170" s="5"/>
      <c r="G170" s="5"/>
      <c r="H170" s="5"/>
      <c r="I170" s="5"/>
      <c r="J170" s="5"/>
      <c r="K170" s="5"/>
    </row>
    <row r="171" spans="2:11" x14ac:dyDescent="0.25">
      <c r="B171" s="5"/>
      <c r="D171" s="5"/>
      <c r="E171" s="5"/>
      <c r="F171" s="5"/>
      <c r="G171" s="5"/>
      <c r="H171" s="5"/>
      <c r="I171" s="5"/>
      <c r="J171" s="5"/>
      <c r="K171" s="5"/>
    </row>
    <row r="172" spans="2:11" x14ac:dyDescent="0.25">
      <c r="B172" s="5"/>
      <c r="D172" s="5"/>
      <c r="E172" s="5"/>
      <c r="F172" s="5"/>
      <c r="G172" s="5"/>
      <c r="H172" s="5"/>
      <c r="I172" s="5"/>
      <c r="J172" s="5"/>
      <c r="K172" s="5"/>
    </row>
    <row r="173" spans="2:11" x14ac:dyDescent="0.25">
      <c r="B173" s="5"/>
      <c r="D173" s="5"/>
      <c r="E173" s="5"/>
      <c r="F173" s="5"/>
      <c r="G173" s="5"/>
      <c r="H173" s="5"/>
      <c r="I173" s="5"/>
      <c r="J173" s="5"/>
      <c r="K173" s="5"/>
    </row>
    <row r="174" spans="2:11" x14ac:dyDescent="0.25">
      <c r="B174" s="5"/>
      <c r="D174" s="5"/>
      <c r="E174" s="5"/>
      <c r="F174" s="5"/>
      <c r="G174" s="5"/>
      <c r="H174" s="5"/>
      <c r="I174" s="5"/>
      <c r="J174" s="5"/>
      <c r="K174" s="5"/>
    </row>
    <row r="175" spans="2:11" x14ac:dyDescent="0.25">
      <c r="B175" s="5"/>
      <c r="D175" s="5"/>
      <c r="E175" s="5"/>
      <c r="F175" s="5"/>
      <c r="G175" s="5"/>
      <c r="H175" s="5"/>
      <c r="I175" s="5"/>
      <c r="J175" s="5"/>
      <c r="K175" s="5"/>
    </row>
    <row r="176" spans="2:11" x14ac:dyDescent="0.25">
      <c r="B176" s="5"/>
      <c r="D176" s="5"/>
      <c r="E176" s="5"/>
      <c r="F176" s="5"/>
      <c r="G176" s="5"/>
      <c r="H176" s="5"/>
      <c r="I176" s="5"/>
      <c r="J176" s="5"/>
      <c r="K176" s="5"/>
    </row>
    <row r="177" spans="2:11" x14ac:dyDescent="0.25">
      <c r="B177" s="5"/>
      <c r="D177" s="5"/>
      <c r="E177" s="5"/>
      <c r="F177" s="5"/>
      <c r="G177" s="5"/>
      <c r="H177" s="5"/>
      <c r="I177" s="5"/>
      <c r="J177" s="5"/>
      <c r="K177" s="5"/>
    </row>
    <row r="178" spans="2:11" x14ac:dyDescent="0.25">
      <c r="B178" s="5"/>
      <c r="D178" s="5"/>
      <c r="E178" s="5"/>
      <c r="F178" s="5"/>
      <c r="G178" s="5"/>
      <c r="H178" s="5"/>
      <c r="I178" s="5"/>
      <c r="J178" s="5"/>
      <c r="K178" s="5"/>
    </row>
    <row r="179" spans="2:11" x14ac:dyDescent="0.25">
      <c r="B179" s="5"/>
      <c r="D179" s="5"/>
      <c r="E179" s="5"/>
      <c r="F179" s="5"/>
      <c r="G179" s="5"/>
      <c r="H179" s="5"/>
      <c r="I179" s="5"/>
      <c r="J179" s="5"/>
      <c r="K179" s="5"/>
    </row>
  </sheetData>
  <mergeCells count="47">
    <mergeCell ref="B10:D10"/>
    <mergeCell ref="F10:S10"/>
    <mergeCell ref="A1:P1"/>
    <mergeCell ref="A2:P2"/>
    <mergeCell ref="A3:P3"/>
    <mergeCell ref="A4:D4"/>
    <mergeCell ref="A5:P5"/>
    <mergeCell ref="B75:B83"/>
    <mergeCell ref="B85:B94"/>
    <mergeCell ref="B70:G70"/>
    <mergeCell ref="B45:B51"/>
    <mergeCell ref="B53:E53"/>
    <mergeCell ref="B54:B60"/>
    <mergeCell ref="B63:F63"/>
    <mergeCell ref="B95:B106"/>
    <mergeCell ref="D16:D18"/>
    <mergeCell ref="E16:J16"/>
    <mergeCell ref="E17:G17"/>
    <mergeCell ref="H17:J17"/>
    <mergeCell ref="B15:B40"/>
    <mergeCell ref="D15:P15"/>
    <mergeCell ref="D23:P23"/>
    <mergeCell ref="D24:P24"/>
    <mergeCell ref="D25:P25"/>
    <mergeCell ref="K29:K30"/>
    <mergeCell ref="D42:P42"/>
    <mergeCell ref="B44:E44"/>
    <mergeCell ref="D27:P27"/>
    <mergeCell ref="D28:P28"/>
    <mergeCell ref="C29:C30"/>
    <mergeCell ref="D41:P41"/>
    <mergeCell ref="B68:G68"/>
    <mergeCell ref="B69:G69"/>
    <mergeCell ref="E29:E30"/>
    <mergeCell ref="F29:F30"/>
    <mergeCell ref="G29:G30"/>
    <mergeCell ref="J29:J30"/>
    <mergeCell ref="D29:D30"/>
    <mergeCell ref="L29:L30"/>
    <mergeCell ref="F11:S11"/>
    <mergeCell ref="E12:R12"/>
    <mergeCell ref="E13:R13"/>
    <mergeCell ref="D26:P26"/>
    <mergeCell ref="K16:P16"/>
    <mergeCell ref="Q15:Q18"/>
    <mergeCell ref="K17:M17"/>
    <mergeCell ref="N17:P17"/>
  </mergeCells>
  <conditionalFormatting sqref="E12:R12">
    <cfRule type="expression" dxfId="73" priority="1">
      <formula>E11="SI SE REPORTA"</formula>
    </cfRule>
  </conditionalFormatting>
  <conditionalFormatting sqref="F10">
    <cfRule type="notContainsBlanks" dxfId="72" priority="4">
      <formula>LEN(TRIM(F10))&gt;0</formula>
    </cfRule>
  </conditionalFormatting>
  <conditionalFormatting sqref="F11:S11">
    <cfRule type="expression" dxfId="71" priority="2">
      <formula>E11="NO SE REPORTA"</formula>
    </cfRule>
    <cfRule type="expression" dxfId="70" priority="3">
      <formula>E10="NO APLICA"</formula>
    </cfRule>
  </conditionalFormatting>
  <dataValidations count="4">
    <dataValidation type="list" allowBlank="1" showInputMessage="1" showErrorMessage="1" sqref="E10" xr:uid="{00000000-0002-0000-1500-000003000000}">
      <formula1>SI</formula1>
    </dataValidation>
    <dataValidation type="list" allowBlank="1" showInputMessage="1" showErrorMessage="1" sqref="E11" xr:uid="{00000000-0002-0000-1500-000002000000}">
      <formula1>REPORTE</formula1>
    </dataValidation>
    <dataValidation type="whole" operator="greaterThanOrEqual" allowBlank="1" showInputMessage="1" showErrorMessage="1" errorTitle="ERROR" error="Valor en PESOS (sin centavos)" sqref="H31:K39" xr:uid="{00000000-0002-0000-1500-000001000000}">
      <formula1>0</formula1>
    </dataValidation>
    <dataValidation type="whole" operator="greaterThanOrEqual" allowBlank="1" showErrorMessage="1" errorTitle="ERROR" error="Escriba un número igual o mayor que 0" promptTitle="ERROR" prompt="Escriba un número igual o mayor que 0" sqref="E19:P21" xr:uid="{00000000-0002-0000-1500-000000000000}">
      <formula1>0</formula1>
    </dataValidation>
  </dataValidations>
  <hyperlinks>
    <hyperlink ref="B9" location="'ANEXO 3'!A1" display="VOLVER AL INDICE" xr:uid="{ED2C0A3B-D11D-4CC4-893D-FFD68A0C5607}"/>
    <hyperlink ref="E49" r:id="rId1" xr:uid="{1C201FF3-07DD-47F1-9F2C-56AE49E8AF36}"/>
  </hyperlinks>
  <pageMargins left="0.25" right="0.25" top="0.75" bottom="0.75" header="0.3" footer="0.3"/>
  <pageSetup paperSize="178" orientation="landscape" horizontalDpi="1200" verticalDpi="1200"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BC29-DA2C-4C41-A335-4A64D4CA00FA}">
  <dimension ref="A1:U180"/>
  <sheetViews>
    <sheetView showGridLines="0" zoomScale="98" zoomScaleNormal="98" workbookViewId="0">
      <selection activeCell="D18" sqref="D18:I18"/>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23</v>
      </c>
      <c r="B5" s="998"/>
      <c r="C5" s="998"/>
      <c r="D5" s="998"/>
      <c r="E5" s="998"/>
      <c r="F5" s="998"/>
      <c r="G5" s="998"/>
      <c r="H5" s="998"/>
      <c r="I5" s="998"/>
      <c r="J5" s="998"/>
      <c r="K5" s="998"/>
      <c r="L5" s="998"/>
      <c r="M5" s="998"/>
      <c r="N5" s="998"/>
      <c r="O5" s="998"/>
      <c r="P5" s="999"/>
    </row>
    <row r="6" spans="1:21" x14ac:dyDescent="0.25">
      <c r="B6" s="1" t="s">
        <v>626</v>
      </c>
      <c r="C6" s="76"/>
      <c r="D6" s="5"/>
      <c r="E6" s="74"/>
      <c r="F6" s="5" t="s">
        <v>627</v>
      </c>
      <c r="G6" s="5"/>
      <c r="H6" s="5"/>
      <c r="I6" s="5"/>
      <c r="J6" s="5"/>
      <c r="K6" s="5"/>
    </row>
    <row r="7" spans="1:21" ht="15.75" thickBot="1" x14ac:dyDescent="0.3">
      <c r="B7" s="75"/>
      <c r="C7" s="77"/>
      <c r="D7" s="5"/>
      <c r="E7" s="17"/>
      <c r="F7" s="5" t="s">
        <v>628</v>
      </c>
      <c r="G7" s="5"/>
      <c r="H7" s="5"/>
      <c r="I7" s="5"/>
      <c r="J7" s="5"/>
      <c r="K7" s="5"/>
    </row>
    <row r="8" spans="1:21" ht="15.75" thickBot="1" x14ac:dyDescent="0.3">
      <c r="B8" s="171" t="s">
        <v>629</v>
      </c>
      <c r="C8" s="211">
        <v>2024</v>
      </c>
      <c r="D8" s="216">
        <f>IF(E10="NO APLICA","NO APLICA",IF(E11="NO SE REPORTA","SIN INFORMACION",+K21))</f>
        <v>1</v>
      </c>
      <c r="E8" s="212"/>
      <c r="F8" s="5" t="s">
        <v>630</v>
      </c>
      <c r="G8" s="5"/>
      <c r="H8" s="5"/>
      <c r="I8" s="5"/>
      <c r="J8" s="5"/>
      <c r="K8" s="5"/>
    </row>
    <row r="9" spans="1:21" x14ac:dyDescent="0.25">
      <c r="B9" s="358" t="s">
        <v>631</v>
      </c>
      <c r="C9" s="88"/>
      <c r="D9" s="5"/>
      <c r="E9" s="5"/>
      <c r="F9" s="5"/>
      <c r="G9" s="5"/>
      <c r="H9" s="5"/>
      <c r="I9" s="5"/>
      <c r="J9" s="5"/>
      <c r="K9" s="5"/>
    </row>
    <row r="10" spans="1:21" x14ac:dyDescent="0.25">
      <c r="B10" s="1008" t="s">
        <v>632</v>
      </c>
      <c r="C10" s="1008"/>
      <c r="D10" s="1008"/>
      <c r="E10" s="361" t="s">
        <v>633</v>
      </c>
      <c r="F10" s="995" t="s">
        <v>2320</v>
      </c>
      <c r="G10" s="996"/>
      <c r="H10" s="996"/>
      <c r="I10" s="996"/>
      <c r="J10" s="996"/>
      <c r="K10" s="996"/>
      <c r="L10" s="996"/>
      <c r="M10" s="996"/>
      <c r="N10" s="996"/>
      <c r="O10" s="996"/>
      <c r="P10" s="996"/>
      <c r="Q10" s="996"/>
      <c r="R10" s="996"/>
      <c r="S10" s="996"/>
      <c r="T10" s="5"/>
      <c r="U10" s="5"/>
    </row>
    <row r="11" spans="1:21" ht="14.45" customHeight="1" x14ac:dyDescent="0.25">
      <c r="B11" s="360"/>
      <c r="C11" s="88"/>
      <c r="D11" s="171" t="str">
        <f>IF(E10="SI APLICA","¿El indicador no se reporta por limitaciones de información disponible? ","")</f>
        <v xml:space="preserve">¿El indicador no se reporta por limitaciones de información disponible? </v>
      </c>
      <c r="E11" s="362" t="s">
        <v>634</v>
      </c>
      <c r="F11" s="1009" t="s">
        <v>2320</v>
      </c>
      <c r="G11" s="1010"/>
      <c r="H11" s="1010"/>
      <c r="I11" s="1010"/>
      <c r="J11" s="1010"/>
      <c r="K11" s="1010"/>
      <c r="L11" s="1010"/>
      <c r="M11" s="1010"/>
      <c r="N11" s="1010"/>
      <c r="O11" s="1010"/>
      <c r="P11" s="1010"/>
      <c r="Q11" s="1010"/>
      <c r="R11" s="1010"/>
      <c r="S11" s="1010"/>
    </row>
    <row r="12" spans="1:21" ht="23.45" customHeight="1" x14ac:dyDescent="0.25">
      <c r="B12" s="358"/>
      <c r="C12" s="88"/>
      <c r="D12" s="171" t="str">
        <f>IF(E11="SI SE REPORTA","¿Qué programas o proyectos del Plan de Acción están asociados al indicador? ","")</f>
        <v xml:space="preserve">¿Qué programas o proyectos del Plan de Acción están asociados al indicador? </v>
      </c>
      <c r="E12" s="1011" t="s">
        <v>2315</v>
      </c>
      <c r="F12" s="1011"/>
      <c r="G12" s="1011"/>
      <c r="H12" s="1011"/>
      <c r="I12" s="1011"/>
      <c r="J12" s="1011"/>
      <c r="K12" s="1011"/>
      <c r="L12" s="1011"/>
      <c r="M12" s="1011"/>
      <c r="N12" s="1011"/>
      <c r="O12" s="1011"/>
      <c r="P12" s="1011"/>
      <c r="Q12" s="1011"/>
      <c r="R12" s="1011"/>
    </row>
    <row r="13" spans="1:21" ht="21.95" customHeight="1" x14ac:dyDescent="0.25">
      <c r="B13" s="358"/>
      <c r="C13" s="88"/>
      <c r="D13" s="171" t="s">
        <v>635</v>
      </c>
      <c r="E13" s="1012"/>
      <c r="F13" s="1013"/>
      <c r="G13" s="1013"/>
      <c r="H13" s="1013"/>
      <c r="I13" s="1013"/>
      <c r="J13" s="1013"/>
      <c r="K13" s="1013"/>
      <c r="L13" s="1013"/>
      <c r="M13" s="1013"/>
      <c r="N13" s="1013"/>
      <c r="O13" s="1013"/>
      <c r="P13" s="1013"/>
      <c r="Q13" s="1013"/>
      <c r="R13" s="1014"/>
    </row>
    <row r="14" spans="1:21" ht="6.95" customHeight="1" thickBot="1" x14ac:dyDescent="0.3">
      <c r="B14" s="358"/>
      <c r="C14" s="88"/>
      <c r="D14" s="5"/>
      <c r="E14" s="5"/>
      <c r="F14" s="5"/>
      <c r="G14" s="5"/>
      <c r="H14" s="5"/>
      <c r="I14" s="5"/>
      <c r="J14" s="5"/>
      <c r="K14" s="5"/>
    </row>
    <row r="15" spans="1:21" ht="15.75" thickBot="1" x14ac:dyDescent="0.3">
      <c r="B15" s="1068" t="s">
        <v>636</v>
      </c>
      <c r="C15" s="102"/>
      <c r="D15" s="956" t="s">
        <v>940</v>
      </c>
      <c r="E15" s="957"/>
      <c r="F15" s="957"/>
      <c r="G15" s="957"/>
      <c r="H15" s="957"/>
      <c r="I15" s="957"/>
      <c r="J15" s="957"/>
      <c r="K15" s="957"/>
      <c r="L15" s="1078"/>
    </row>
    <row r="16" spans="1:21" ht="15.75" thickBot="1" x14ac:dyDescent="0.3">
      <c r="B16" s="1095"/>
      <c r="C16" s="108"/>
      <c r="D16" s="958"/>
      <c r="E16" s="983" t="s">
        <v>1193</v>
      </c>
      <c r="F16" s="984"/>
      <c r="G16" s="985"/>
      <c r="H16" s="983" t="s">
        <v>1194</v>
      </c>
      <c r="I16" s="984"/>
      <c r="J16" s="985"/>
      <c r="K16" s="974" t="s">
        <v>1121</v>
      </c>
      <c r="L16" s="13"/>
    </row>
    <row r="17" spans="2:12" ht="15.75" thickBot="1" x14ac:dyDescent="0.3">
      <c r="B17" s="1095"/>
      <c r="C17" s="108"/>
      <c r="D17" s="988"/>
      <c r="E17" s="65" t="s">
        <v>1150</v>
      </c>
      <c r="F17" s="65" t="s">
        <v>1151</v>
      </c>
      <c r="G17" s="65" t="s">
        <v>1195</v>
      </c>
      <c r="H17" s="65" t="s">
        <v>1150</v>
      </c>
      <c r="I17" s="65" t="s">
        <v>1151</v>
      </c>
      <c r="J17" s="65" t="s">
        <v>1195</v>
      </c>
      <c r="K17" s="976"/>
      <c r="L17" s="13"/>
    </row>
    <row r="18" spans="2:12" ht="24.75" thickBot="1" x14ac:dyDescent="0.3">
      <c r="B18" s="1095"/>
      <c r="C18" s="108"/>
      <c r="D18" s="40" t="s">
        <v>1196</v>
      </c>
      <c r="E18" s="6"/>
      <c r="F18" s="6">
        <v>1</v>
      </c>
      <c r="G18" s="42">
        <f>+E18+F18</f>
        <v>1</v>
      </c>
      <c r="H18" s="6"/>
      <c r="I18" s="6"/>
      <c r="J18" s="42">
        <f>+H18+I18</f>
        <v>0</v>
      </c>
      <c r="K18" s="42">
        <f>+G18+J18</f>
        <v>1</v>
      </c>
      <c r="L18" s="13"/>
    </row>
    <row r="19" spans="2:12" ht="36.75" thickBot="1" x14ac:dyDescent="0.3">
      <c r="B19" s="1095"/>
      <c r="C19" s="108"/>
      <c r="D19" s="40" t="s">
        <v>1197</v>
      </c>
      <c r="E19" s="6"/>
      <c r="F19" s="6">
        <v>1</v>
      </c>
      <c r="G19" s="42">
        <f>+E19+F19</f>
        <v>1</v>
      </c>
      <c r="H19" s="6"/>
      <c r="I19" s="6"/>
      <c r="J19" s="42">
        <f>+H19+I19</f>
        <v>0</v>
      </c>
      <c r="K19" s="42">
        <f>+G19+J19</f>
        <v>1</v>
      </c>
      <c r="L19" s="13"/>
    </row>
    <row r="20" spans="2:12" ht="36.75" thickBot="1" x14ac:dyDescent="0.3">
      <c r="B20" s="1095"/>
      <c r="C20" s="108"/>
      <c r="D20" s="40" t="s">
        <v>1198</v>
      </c>
      <c r="E20" s="6"/>
      <c r="F20" s="6">
        <v>1</v>
      </c>
      <c r="G20" s="42">
        <f>+E20+F20</f>
        <v>1</v>
      </c>
      <c r="H20" s="6"/>
      <c r="I20" s="6"/>
      <c r="J20" s="42">
        <f>+H20+I20</f>
        <v>0</v>
      </c>
      <c r="K20" s="42">
        <f>+G20+J20</f>
        <v>1</v>
      </c>
      <c r="L20" s="13"/>
    </row>
    <row r="21" spans="2:12" ht="36.75" thickBot="1" x14ac:dyDescent="0.3">
      <c r="B21" s="1095"/>
      <c r="C21" s="108"/>
      <c r="D21" s="40" t="s">
        <v>23</v>
      </c>
      <c r="E21" s="185" t="str">
        <f t="shared" ref="E21:K21" si="0">IFERROR(E20/E19,"N.A.")</f>
        <v>N.A.</v>
      </c>
      <c r="F21" s="185">
        <f t="shared" si="0"/>
        <v>1</v>
      </c>
      <c r="G21" s="185">
        <f t="shared" si="0"/>
        <v>1</v>
      </c>
      <c r="H21" s="185" t="str">
        <f t="shared" si="0"/>
        <v>N.A.</v>
      </c>
      <c r="I21" s="185" t="str">
        <f t="shared" si="0"/>
        <v>N.A.</v>
      </c>
      <c r="J21" s="137" t="str">
        <f t="shared" si="0"/>
        <v>N.A.</v>
      </c>
      <c r="K21" s="137">
        <f t="shared" si="0"/>
        <v>1</v>
      </c>
      <c r="L21" s="13"/>
    </row>
    <row r="22" spans="2:12" x14ac:dyDescent="0.25">
      <c r="B22" s="1095"/>
      <c r="C22" s="103"/>
      <c r="D22" s="962"/>
      <c r="E22" s="963"/>
      <c r="F22" s="963"/>
      <c r="G22" s="963"/>
      <c r="H22" s="963"/>
      <c r="I22" s="963"/>
      <c r="J22" s="963"/>
      <c r="K22" s="963"/>
      <c r="L22" s="1079"/>
    </row>
    <row r="23" spans="2:12" x14ac:dyDescent="0.25">
      <c r="B23" s="1095"/>
      <c r="C23" s="103"/>
      <c r="D23" s="959" t="s">
        <v>866</v>
      </c>
      <c r="E23" s="960"/>
      <c r="F23" s="960"/>
      <c r="G23" s="960"/>
      <c r="H23" s="960"/>
      <c r="I23" s="960"/>
      <c r="J23" s="960"/>
      <c r="K23" s="960"/>
      <c r="L23" s="1080"/>
    </row>
    <row r="24" spans="2:12" x14ac:dyDescent="0.25">
      <c r="B24" s="1095"/>
      <c r="C24" s="103"/>
      <c r="D24" s="959" t="s">
        <v>1199</v>
      </c>
      <c r="E24" s="960"/>
      <c r="F24" s="960"/>
      <c r="G24" s="960"/>
      <c r="H24" s="960"/>
      <c r="I24" s="960"/>
      <c r="J24" s="960"/>
      <c r="K24" s="960"/>
      <c r="L24" s="1080"/>
    </row>
    <row r="25" spans="2:12" ht="15.75" thickBot="1" x14ac:dyDescent="0.3">
      <c r="B25" s="1095"/>
      <c r="C25" s="103"/>
      <c r="D25" s="986" t="s">
        <v>947</v>
      </c>
      <c r="E25" s="987"/>
      <c r="F25" s="987"/>
      <c r="G25" s="987"/>
      <c r="H25" s="987"/>
      <c r="I25" s="987"/>
      <c r="J25" s="987"/>
      <c r="K25" s="987"/>
      <c r="L25" s="1081"/>
    </row>
    <row r="26" spans="2:12" ht="21" customHeight="1" x14ac:dyDescent="0.25">
      <c r="B26" s="1095"/>
      <c r="C26" s="1045" t="s">
        <v>585</v>
      </c>
      <c r="D26" s="1087" t="s">
        <v>868</v>
      </c>
      <c r="E26" s="1106" t="s">
        <v>1162</v>
      </c>
      <c r="F26" s="1106" t="s">
        <v>1163</v>
      </c>
      <c r="G26" s="1106" t="s">
        <v>1164</v>
      </c>
      <c r="H26" s="201" t="s">
        <v>1128</v>
      </c>
      <c r="I26" s="201" t="s">
        <v>1129</v>
      </c>
      <c r="J26" s="1106" t="s">
        <v>872</v>
      </c>
      <c r="K26" s="1106" t="s">
        <v>873</v>
      </c>
      <c r="L26" s="1106" t="s">
        <v>593</v>
      </c>
    </row>
    <row r="27" spans="2:12" ht="15.75" thickBot="1" x14ac:dyDescent="0.3">
      <c r="B27" s="1095"/>
      <c r="C27" s="1046"/>
      <c r="D27" s="1089"/>
      <c r="E27" s="1107"/>
      <c r="F27" s="1107"/>
      <c r="G27" s="1107"/>
      <c r="H27" s="202" t="s">
        <v>1130</v>
      </c>
      <c r="I27" s="202" t="s">
        <v>1131</v>
      </c>
      <c r="J27" s="1107"/>
      <c r="K27" s="1107"/>
      <c r="L27" s="1107"/>
    </row>
    <row r="28" spans="2:12" ht="15.75" thickBot="1" x14ac:dyDescent="0.3">
      <c r="B28" s="1095"/>
      <c r="C28" s="270"/>
      <c r="D28" s="30"/>
      <c r="E28" s="30"/>
      <c r="F28" s="30"/>
      <c r="G28" s="30"/>
      <c r="H28" s="207"/>
      <c r="I28" s="207"/>
      <c r="J28" s="207"/>
      <c r="K28" s="207"/>
      <c r="L28" s="207"/>
    </row>
    <row r="29" spans="2:12" ht="15.75" thickBot="1" x14ac:dyDescent="0.3">
      <c r="B29" s="1095"/>
      <c r="C29" s="270"/>
      <c r="D29" s="30"/>
      <c r="E29" s="30"/>
      <c r="F29" s="30"/>
      <c r="G29" s="30"/>
      <c r="H29" s="207"/>
      <c r="I29" s="207"/>
      <c r="J29" s="207"/>
      <c r="K29" s="207"/>
      <c r="L29" s="207"/>
    </row>
    <row r="30" spans="2:12" ht="15.75" thickBot="1" x14ac:dyDescent="0.3">
      <c r="B30" s="1095"/>
      <c r="C30" s="270"/>
      <c r="D30" s="30"/>
      <c r="E30" s="30"/>
      <c r="F30" s="30"/>
      <c r="G30" s="30"/>
      <c r="H30" s="207"/>
      <c r="I30" s="207"/>
      <c r="J30" s="207"/>
      <c r="K30" s="207"/>
      <c r="L30" s="207"/>
    </row>
    <row r="31" spans="2:12" ht="15.75" thickBot="1" x14ac:dyDescent="0.3">
      <c r="B31" s="1095"/>
      <c r="C31" s="270"/>
      <c r="D31" s="30"/>
      <c r="E31" s="30"/>
      <c r="F31" s="30"/>
      <c r="G31" s="30"/>
      <c r="H31" s="207"/>
      <c r="I31" s="207"/>
      <c r="J31" s="207"/>
      <c r="K31" s="207"/>
      <c r="L31" s="207"/>
    </row>
    <row r="32" spans="2:12" ht="15.75" thickBot="1" x14ac:dyDescent="0.3">
      <c r="B32" s="1095"/>
      <c r="C32" s="270"/>
      <c r="D32" s="30"/>
      <c r="E32" s="30"/>
      <c r="F32" s="30"/>
      <c r="G32" s="30"/>
      <c r="H32" s="207"/>
      <c r="I32" s="207"/>
      <c r="J32" s="207"/>
      <c r="K32" s="207"/>
      <c r="L32" s="207"/>
    </row>
    <row r="33" spans="2:12" ht="15.75" thickBot="1" x14ac:dyDescent="0.3">
      <c r="B33" s="1095"/>
      <c r="C33" s="270"/>
      <c r="D33" s="30"/>
      <c r="E33" s="30"/>
      <c r="F33" s="30"/>
      <c r="G33" s="30"/>
      <c r="H33" s="207"/>
      <c r="I33" s="207"/>
      <c r="J33" s="207"/>
      <c r="K33" s="207"/>
      <c r="L33" s="207"/>
    </row>
    <row r="34" spans="2:12" ht="15.75" thickBot="1" x14ac:dyDescent="0.3">
      <c r="B34" s="1095"/>
      <c r="C34" s="270"/>
      <c r="D34" s="30"/>
      <c r="E34" s="30"/>
      <c r="F34" s="30"/>
      <c r="G34" s="30"/>
      <c r="H34" s="207"/>
      <c r="I34" s="207"/>
      <c r="J34" s="207"/>
      <c r="K34" s="207"/>
      <c r="L34" s="207"/>
    </row>
    <row r="35" spans="2:12" ht="15.75" thickBot="1" x14ac:dyDescent="0.3">
      <c r="B35" s="1095"/>
      <c r="C35" s="270"/>
      <c r="D35" s="30"/>
      <c r="E35" s="30"/>
      <c r="F35" s="30"/>
      <c r="G35" s="30"/>
      <c r="H35" s="207"/>
      <c r="I35" s="207"/>
      <c r="J35" s="207"/>
      <c r="K35" s="207"/>
      <c r="L35" s="207"/>
    </row>
    <row r="36" spans="2:12" ht="15.75" thickBot="1" x14ac:dyDescent="0.3">
      <c r="B36" s="1095"/>
      <c r="C36" s="270"/>
      <c r="D36" s="30"/>
      <c r="E36" s="30"/>
      <c r="F36" s="30"/>
      <c r="G36" s="30"/>
      <c r="H36" s="207"/>
      <c r="I36" s="207"/>
      <c r="J36" s="207"/>
      <c r="K36" s="207"/>
      <c r="L36" s="207"/>
    </row>
    <row r="37" spans="2:12" ht="15.75" thickBot="1" x14ac:dyDescent="0.3">
      <c r="B37" s="1069"/>
      <c r="C37" s="109"/>
      <c r="D37" s="26"/>
      <c r="E37" s="39" t="s">
        <v>764</v>
      </c>
      <c r="F37" s="26"/>
      <c r="G37" s="26"/>
      <c r="H37" s="190">
        <f>SUM(H28:H36)</f>
        <v>0</v>
      </c>
      <c r="I37" s="190">
        <f>SUM(I28:I36)</f>
        <v>0</v>
      </c>
      <c r="J37" s="190">
        <f>SUM(J28:J36)</f>
        <v>0</v>
      </c>
      <c r="K37" s="190">
        <f>SUM(K28:K36)</f>
        <v>0</v>
      </c>
      <c r="L37" s="207"/>
    </row>
    <row r="38" spans="2:12" ht="36" customHeight="1" thickBot="1" x14ac:dyDescent="0.3">
      <c r="B38" s="72" t="s">
        <v>671</v>
      </c>
      <c r="C38" s="107"/>
      <c r="D38" s="983" t="s">
        <v>1200</v>
      </c>
      <c r="E38" s="984"/>
      <c r="F38" s="984"/>
      <c r="G38" s="984"/>
      <c r="H38" s="984"/>
      <c r="I38" s="984"/>
      <c r="J38" s="984"/>
      <c r="K38" s="984"/>
      <c r="L38" s="1082"/>
    </row>
    <row r="39" spans="2:12" ht="24" customHeight="1" thickBot="1" x14ac:dyDescent="0.3">
      <c r="B39" s="72" t="s">
        <v>673</v>
      </c>
      <c r="C39" s="107"/>
      <c r="D39" s="983" t="s">
        <v>1201</v>
      </c>
      <c r="E39" s="984"/>
      <c r="F39" s="984"/>
      <c r="G39" s="984"/>
      <c r="H39" s="984"/>
      <c r="I39" s="984"/>
      <c r="J39" s="984"/>
      <c r="K39" s="984"/>
      <c r="L39" s="1082"/>
    </row>
    <row r="40" spans="2:12" ht="15.75" thickBot="1" x14ac:dyDescent="0.3">
      <c r="B40" s="1"/>
      <c r="C40" s="76"/>
      <c r="D40" s="5"/>
      <c r="E40" s="5"/>
      <c r="F40" s="5"/>
      <c r="G40" s="5"/>
      <c r="H40" s="5"/>
      <c r="I40" s="5"/>
      <c r="J40" s="5"/>
      <c r="K40" s="5"/>
    </row>
    <row r="41" spans="2:12" ht="24" customHeight="1" thickBot="1" x14ac:dyDescent="0.3">
      <c r="B41" s="971" t="s">
        <v>675</v>
      </c>
      <c r="C41" s="972"/>
      <c r="D41" s="972"/>
      <c r="E41" s="973"/>
      <c r="F41" s="5"/>
      <c r="G41" s="5"/>
      <c r="H41" s="5"/>
      <c r="I41" s="5"/>
      <c r="J41" s="5"/>
      <c r="K41" s="5"/>
    </row>
    <row r="42" spans="2:12" ht="48.75" thickBot="1" x14ac:dyDescent="0.3">
      <c r="B42" s="974">
        <v>1</v>
      </c>
      <c r="C42" s="94"/>
      <c r="D42" s="48" t="s">
        <v>676</v>
      </c>
      <c r="E42" s="337" t="s">
        <v>2301</v>
      </c>
      <c r="F42" s="5"/>
      <c r="G42" s="5"/>
      <c r="H42" s="5"/>
      <c r="I42" s="5"/>
      <c r="J42" s="5"/>
      <c r="K42" s="5"/>
    </row>
    <row r="43" spans="2:12" ht="48.75" thickBot="1" x14ac:dyDescent="0.3">
      <c r="B43" s="975"/>
      <c r="C43" s="94"/>
      <c r="D43" s="40" t="s">
        <v>525</v>
      </c>
      <c r="E43" s="337" t="s">
        <v>2311</v>
      </c>
      <c r="F43" s="5"/>
      <c r="G43" s="5"/>
      <c r="H43" s="5"/>
      <c r="I43" s="5"/>
      <c r="J43" s="5"/>
      <c r="K43" s="5"/>
    </row>
    <row r="44" spans="2:12" ht="36.75" thickBot="1" x14ac:dyDescent="0.3">
      <c r="B44" s="975"/>
      <c r="C44" s="94"/>
      <c r="D44" s="40" t="s">
        <v>677</v>
      </c>
      <c r="E44" s="337" t="s">
        <v>2303</v>
      </c>
      <c r="F44" s="5"/>
      <c r="G44" s="5"/>
      <c r="H44" s="5"/>
      <c r="I44" s="5"/>
      <c r="J44" s="5"/>
      <c r="K44" s="5"/>
    </row>
    <row r="45" spans="2:12" ht="15.75" thickBot="1" x14ac:dyDescent="0.3">
      <c r="B45" s="975"/>
      <c r="C45" s="94"/>
      <c r="D45" s="40" t="s">
        <v>527</v>
      </c>
      <c r="E45" s="337" t="s">
        <v>2304</v>
      </c>
      <c r="F45" s="5"/>
      <c r="G45" s="5"/>
      <c r="H45" s="5"/>
      <c r="I45" s="5"/>
      <c r="J45" s="5"/>
      <c r="K45" s="5"/>
    </row>
    <row r="46" spans="2:12" ht="60.75" thickBot="1" x14ac:dyDescent="0.3">
      <c r="B46" s="975"/>
      <c r="C46" s="94"/>
      <c r="D46" s="40" t="s">
        <v>529</v>
      </c>
      <c r="E46" s="766" t="s">
        <v>2309</v>
      </c>
      <c r="F46" s="5"/>
      <c r="G46" s="5"/>
      <c r="H46" s="5"/>
      <c r="I46" s="5"/>
      <c r="J46" s="5"/>
      <c r="K46" s="5"/>
    </row>
    <row r="47" spans="2:12" ht="15.75" thickBot="1" x14ac:dyDescent="0.3">
      <c r="B47" s="975"/>
      <c r="C47" s="94"/>
      <c r="D47" s="40" t="s">
        <v>531</v>
      </c>
      <c r="E47" s="337">
        <v>5748960</v>
      </c>
      <c r="F47" s="5"/>
      <c r="G47" s="5"/>
      <c r="H47" s="5"/>
      <c r="I47" s="5"/>
      <c r="J47" s="5"/>
      <c r="K47" s="5"/>
    </row>
    <row r="48" spans="2:12" ht="60.75" thickBot="1" x14ac:dyDescent="0.3">
      <c r="B48" s="976"/>
      <c r="C48" s="2"/>
      <c r="D48" s="40" t="s">
        <v>678</v>
      </c>
      <c r="E48" s="337" t="s">
        <v>2312</v>
      </c>
      <c r="F48" s="5"/>
      <c r="G48" s="5"/>
      <c r="H48" s="5"/>
      <c r="I48" s="5"/>
      <c r="J48" s="5"/>
      <c r="K48" s="5"/>
    </row>
    <row r="49" spans="2:11" ht="15.75" thickBot="1" x14ac:dyDescent="0.3">
      <c r="B49" s="1"/>
      <c r="C49" s="76"/>
      <c r="D49" s="5"/>
      <c r="E49" s="5"/>
      <c r="F49" s="5"/>
      <c r="G49" s="5"/>
      <c r="H49" s="5"/>
      <c r="I49" s="5"/>
      <c r="J49" s="5"/>
      <c r="K49" s="5"/>
    </row>
    <row r="50" spans="2:11" ht="15.75" thickBot="1" x14ac:dyDescent="0.3">
      <c r="B50" s="971" t="s">
        <v>679</v>
      </c>
      <c r="C50" s="972"/>
      <c r="D50" s="972"/>
      <c r="E50" s="973"/>
      <c r="F50" s="5"/>
      <c r="G50" s="5"/>
      <c r="H50" s="5"/>
      <c r="I50" s="5"/>
      <c r="J50" s="5"/>
      <c r="K50" s="5"/>
    </row>
    <row r="51" spans="2:11" ht="15.75" thickBot="1" x14ac:dyDescent="0.3">
      <c r="B51" s="974">
        <v>1</v>
      </c>
      <c r="C51" s="94"/>
      <c r="D51" s="48" t="s">
        <v>676</v>
      </c>
      <c r="E51" s="219" t="s">
        <v>680</v>
      </c>
      <c r="F51" s="5"/>
      <c r="G51" s="5"/>
      <c r="H51" s="5"/>
      <c r="I51" s="5"/>
      <c r="J51" s="5"/>
      <c r="K51" s="5"/>
    </row>
    <row r="52" spans="2:11" ht="15.75" thickBot="1" x14ac:dyDescent="0.3">
      <c r="B52" s="975"/>
      <c r="C52" s="94"/>
      <c r="D52" s="40" t="s">
        <v>525</v>
      </c>
      <c r="E52" s="219" t="s">
        <v>681</v>
      </c>
      <c r="F52" s="5"/>
      <c r="G52" s="5"/>
      <c r="H52" s="5"/>
      <c r="I52" s="5"/>
      <c r="J52" s="5"/>
      <c r="K52" s="5"/>
    </row>
    <row r="53" spans="2:11" ht="15.75" thickBot="1" x14ac:dyDescent="0.3">
      <c r="B53" s="975"/>
      <c r="C53" s="94"/>
      <c r="D53" s="40" t="s">
        <v>677</v>
      </c>
      <c r="E53" s="239"/>
      <c r="F53" s="5"/>
      <c r="G53" s="5"/>
      <c r="H53" s="5"/>
      <c r="I53" s="5"/>
      <c r="J53" s="5"/>
      <c r="K53" s="5"/>
    </row>
    <row r="54" spans="2:11" ht="15.75" thickBot="1" x14ac:dyDescent="0.3">
      <c r="B54" s="975"/>
      <c r="C54" s="94"/>
      <c r="D54" s="40" t="s">
        <v>527</v>
      </c>
      <c r="E54" s="239"/>
      <c r="F54" s="5"/>
      <c r="G54" s="5"/>
      <c r="H54" s="5"/>
      <c r="I54" s="5"/>
      <c r="J54" s="5"/>
      <c r="K54" s="5"/>
    </row>
    <row r="55" spans="2:11" ht="15.75" thickBot="1" x14ac:dyDescent="0.3">
      <c r="B55" s="975"/>
      <c r="C55" s="94"/>
      <c r="D55" s="40" t="s">
        <v>529</v>
      </c>
      <c r="E55" s="239"/>
      <c r="F55" s="5"/>
      <c r="G55" s="5"/>
      <c r="H55" s="5"/>
      <c r="I55" s="5"/>
      <c r="J55" s="5"/>
      <c r="K55" s="5"/>
    </row>
    <row r="56" spans="2:11" ht="15.75" thickBot="1" x14ac:dyDescent="0.3">
      <c r="B56" s="975"/>
      <c r="C56" s="94"/>
      <c r="D56" s="40" t="s">
        <v>531</v>
      </c>
      <c r="E56" s="239"/>
      <c r="F56" s="5"/>
      <c r="G56" s="5"/>
      <c r="H56" s="5"/>
      <c r="I56" s="5"/>
      <c r="J56" s="5"/>
      <c r="K56" s="5"/>
    </row>
    <row r="57" spans="2:11" ht="15.75" thickBot="1" x14ac:dyDescent="0.3">
      <c r="B57" s="976"/>
      <c r="C57" s="2"/>
      <c r="D57" s="40" t="s">
        <v>678</v>
      </c>
      <c r="E57" s="239"/>
      <c r="F57" s="5"/>
      <c r="G57" s="5"/>
      <c r="H57" s="5"/>
      <c r="I57" s="5"/>
      <c r="J57" s="5"/>
      <c r="K57" s="5"/>
    </row>
    <row r="58" spans="2:11" ht="15.75" thickBot="1" x14ac:dyDescent="0.3">
      <c r="B58" s="1"/>
      <c r="C58" s="76"/>
      <c r="D58" s="5"/>
      <c r="E58" s="5"/>
      <c r="F58" s="5"/>
      <c r="G58" s="5"/>
      <c r="H58" s="5"/>
      <c r="I58" s="5"/>
      <c r="J58" s="5"/>
      <c r="K58" s="5"/>
    </row>
    <row r="59" spans="2:11" ht="15" customHeight="1" thickBot="1" x14ac:dyDescent="0.3">
      <c r="B59" s="119" t="s">
        <v>682</v>
      </c>
      <c r="C59" s="120"/>
      <c r="D59" s="120"/>
      <c r="E59" s="121"/>
      <c r="G59" s="5"/>
      <c r="H59" s="5"/>
      <c r="I59" s="5"/>
      <c r="J59" s="5"/>
      <c r="K59" s="5"/>
    </row>
    <row r="60" spans="2:11" ht="24.75" thickBot="1" x14ac:dyDescent="0.3">
      <c r="B60" s="47" t="s">
        <v>683</v>
      </c>
      <c r="C60" s="40" t="s">
        <v>684</v>
      </c>
      <c r="D60" s="40" t="s">
        <v>685</v>
      </c>
      <c r="E60" s="40" t="s">
        <v>686</v>
      </c>
      <c r="F60" s="5"/>
      <c r="G60" s="5"/>
      <c r="H60" s="5"/>
      <c r="I60" s="5"/>
      <c r="J60" s="5"/>
    </row>
    <row r="61" spans="2:11" ht="72.75" thickBot="1" x14ac:dyDescent="0.3">
      <c r="B61" s="49">
        <v>42401</v>
      </c>
      <c r="C61" s="40">
        <v>0.01</v>
      </c>
      <c r="D61" s="50" t="s">
        <v>1202</v>
      </c>
      <c r="E61" s="40"/>
      <c r="F61" s="5"/>
      <c r="G61" s="5"/>
      <c r="H61" s="5"/>
      <c r="I61" s="5"/>
      <c r="J61" s="5"/>
    </row>
    <row r="62" spans="2:11" ht="15.75" thickBot="1" x14ac:dyDescent="0.3">
      <c r="B62" s="3"/>
      <c r="C62" s="95"/>
      <c r="D62" s="5"/>
      <c r="E62" s="5"/>
      <c r="F62" s="5"/>
      <c r="G62" s="5"/>
      <c r="H62" s="5"/>
      <c r="I62" s="5"/>
      <c r="J62" s="5"/>
      <c r="K62" s="5"/>
    </row>
    <row r="63" spans="2:11" x14ac:dyDescent="0.25">
      <c r="B63" s="129" t="s">
        <v>593</v>
      </c>
      <c r="C63" s="96"/>
      <c r="D63" s="5"/>
      <c r="E63" s="5"/>
      <c r="F63" s="5"/>
      <c r="G63" s="5"/>
      <c r="H63" s="5"/>
      <c r="I63" s="5"/>
      <c r="J63" s="5"/>
      <c r="K63" s="5"/>
    </row>
    <row r="64" spans="2:11" ht="81" customHeight="1" x14ac:dyDescent="0.25">
      <c r="B64" s="1100" t="s">
        <v>1203</v>
      </c>
      <c r="C64" s="1101"/>
      <c r="D64" s="1102"/>
      <c r="E64" s="5"/>
      <c r="F64" s="5"/>
      <c r="G64" s="5"/>
      <c r="H64" s="5"/>
      <c r="I64" s="5"/>
      <c r="J64" s="5"/>
      <c r="K64" s="5"/>
    </row>
    <row r="65" spans="2:11" x14ac:dyDescent="0.25">
      <c r="B65" s="1103"/>
      <c r="C65" s="1104"/>
      <c r="D65" s="1105"/>
      <c r="E65" s="5"/>
      <c r="F65" s="5"/>
      <c r="G65" s="5"/>
      <c r="H65" s="5"/>
      <c r="I65" s="5"/>
      <c r="J65" s="5"/>
      <c r="K65" s="5"/>
    </row>
    <row r="66" spans="2:11" x14ac:dyDescent="0.25">
      <c r="B66" s="1"/>
      <c r="C66" s="76"/>
      <c r="D66" s="5"/>
      <c r="E66" s="5"/>
      <c r="F66" s="5"/>
      <c r="G66" s="5"/>
      <c r="H66" s="5"/>
      <c r="I66" s="5"/>
      <c r="J66" s="5"/>
      <c r="K66" s="5"/>
    </row>
    <row r="67" spans="2:11" ht="15.75" thickBot="1" x14ac:dyDescent="0.3">
      <c r="B67" s="5"/>
      <c r="D67" s="5"/>
      <c r="E67" s="5"/>
      <c r="F67" s="5"/>
      <c r="G67" s="5"/>
      <c r="H67" s="5"/>
      <c r="I67" s="5"/>
      <c r="J67" s="5"/>
      <c r="K67" s="5"/>
    </row>
    <row r="68" spans="2:11" ht="24.75" thickBot="1" x14ac:dyDescent="0.3">
      <c r="B68" s="51" t="s">
        <v>1135</v>
      </c>
      <c r="C68" s="97"/>
      <c r="D68" s="5"/>
      <c r="E68" s="5"/>
      <c r="F68" s="5"/>
      <c r="G68" s="5"/>
      <c r="H68" s="5"/>
      <c r="I68" s="5"/>
      <c r="J68" s="5"/>
      <c r="K68" s="5"/>
    </row>
    <row r="69" spans="2:11" ht="15.75" thickBot="1" x14ac:dyDescent="0.3">
      <c r="B69" s="37"/>
      <c r="C69" s="88"/>
      <c r="D69" s="5"/>
      <c r="E69" s="5"/>
      <c r="F69" s="5"/>
      <c r="G69" s="5"/>
      <c r="H69" s="5"/>
      <c r="I69" s="5"/>
      <c r="J69" s="5"/>
      <c r="K69" s="5"/>
    </row>
    <row r="70" spans="2:11" ht="84.75" thickBot="1" x14ac:dyDescent="0.3">
      <c r="B70" s="52" t="s">
        <v>689</v>
      </c>
      <c r="C70" s="98"/>
      <c r="D70" s="43" t="s">
        <v>1204</v>
      </c>
      <c r="E70" s="5"/>
      <c r="F70" s="5"/>
      <c r="G70" s="5"/>
      <c r="H70" s="5"/>
      <c r="I70" s="5"/>
      <c r="J70" s="5"/>
      <c r="K70" s="5"/>
    </row>
    <row r="71" spans="2:11" x14ac:dyDescent="0.25">
      <c r="B71" s="974" t="s">
        <v>691</v>
      </c>
      <c r="C71" s="94"/>
      <c r="D71" s="53" t="s">
        <v>692</v>
      </c>
      <c r="E71" s="5"/>
      <c r="F71" s="5"/>
      <c r="G71" s="5"/>
      <c r="H71" s="5"/>
      <c r="I71" s="5"/>
      <c r="J71" s="5"/>
      <c r="K71" s="5"/>
    </row>
    <row r="72" spans="2:11" ht="120" x14ac:dyDescent="0.25">
      <c r="B72" s="975"/>
      <c r="C72" s="94"/>
      <c r="D72" s="46" t="s">
        <v>1205</v>
      </c>
      <c r="E72" s="5"/>
      <c r="F72" s="5"/>
      <c r="G72" s="5"/>
      <c r="H72" s="5"/>
      <c r="I72" s="5"/>
      <c r="J72" s="5"/>
      <c r="K72" s="5"/>
    </row>
    <row r="73" spans="2:11" x14ac:dyDescent="0.25">
      <c r="B73" s="975"/>
      <c r="C73" s="94"/>
      <c r="D73" s="53" t="s">
        <v>695</v>
      </c>
      <c r="E73" s="5"/>
      <c r="F73" s="5"/>
      <c r="G73" s="5"/>
      <c r="H73" s="5"/>
      <c r="I73" s="5"/>
      <c r="J73" s="5"/>
      <c r="K73" s="5"/>
    </row>
    <row r="74" spans="2:11" x14ac:dyDescent="0.25">
      <c r="B74" s="975"/>
      <c r="C74" s="94"/>
      <c r="D74" s="46" t="s">
        <v>800</v>
      </c>
      <c r="E74" s="5"/>
      <c r="F74" s="5"/>
      <c r="G74" s="5"/>
      <c r="H74" s="5"/>
      <c r="I74" s="5"/>
      <c r="J74" s="5"/>
      <c r="K74" s="5"/>
    </row>
    <row r="75" spans="2:11" ht="24" x14ac:dyDescent="0.25">
      <c r="B75" s="975"/>
      <c r="C75" s="94"/>
      <c r="D75" s="46" t="s">
        <v>1206</v>
      </c>
      <c r="E75" s="5"/>
      <c r="F75" s="5"/>
      <c r="G75" s="5"/>
      <c r="H75" s="5"/>
      <c r="I75" s="5"/>
      <c r="J75" s="5"/>
      <c r="K75" s="5"/>
    </row>
    <row r="76" spans="2:11" x14ac:dyDescent="0.25">
      <c r="B76" s="975"/>
      <c r="C76" s="94"/>
      <c r="D76" s="46" t="s">
        <v>1207</v>
      </c>
      <c r="E76" s="5"/>
      <c r="F76" s="5"/>
      <c r="G76" s="5"/>
      <c r="H76" s="5"/>
      <c r="I76" s="5"/>
      <c r="J76" s="5"/>
      <c r="K76" s="5"/>
    </row>
    <row r="77" spans="2:11" ht="24" x14ac:dyDescent="0.25">
      <c r="B77" s="975"/>
      <c r="C77" s="94"/>
      <c r="D77" s="46" t="s">
        <v>1208</v>
      </c>
      <c r="E77" s="5"/>
      <c r="F77" s="5"/>
      <c r="G77" s="5"/>
      <c r="H77" s="5"/>
      <c r="I77" s="5"/>
      <c r="J77" s="5"/>
      <c r="K77" s="5"/>
    </row>
    <row r="78" spans="2:11" ht="24" x14ac:dyDescent="0.25">
      <c r="B78" s="975"/>
      <c r="C78" s="94"/>
      <c r="D78" s="46" t="s">
        <v>1209</v>
      </c>
      <c r="E78" s="5"/>
      <c r="F78" s="5"/>
      <c r="G78" s="5"/>
      <c r="H78" s="5"/>
      <c r="I78" s="5"/>
      <c r="J78" s="5"/>
      <c r="K78" s="5"/>
    </row>
    <row r="79" spans="2:11" ht="24" x14ac:dyDescent="0.25">
      <c r="B79" s="975"/>
      <c r="C79" s="94"/>
      <c r="D79" s="46" t="s">
        <v>1210</v>
      </c>
      <c r="E79" s="5"/>
      <c r="F79" s="5"/>
      <c r="G79" s="5"/>
      <c r="H79" s="5"/>
      <c r="I79" s="5"/>
      <c r="J79" s="5"/>
      <c r="K79" s="5"/>
    </row>
    <row r="80" spans="2:11" x14ac:dyDescent="0.25">
      <c r="B80" s="975"/>
      <c r="C80" s="94"/>
      <c r="D80" s="53" t="s">
        <v>923</v>
      </c>
      <c r="E80" s="5"/>
      <c r="F80" s="5"/>
      <c r="G80" s="5"/>
      <c r="H80" s="5"/>
      <c r="I80" s="5"/>
      <c r="J80" s="5"/>
      <c r="K80" s="5"/>
    </row>
    <row r="81" spans="2:11" ht="36" x14ac:dyDescent="0.25">
      <c r="B81" s="975"/>
      <c r="C81" s="94"/>
      <c r="D81" s="46" t="s">
        <v>1022</v>
      </c>
      <c r="E81" s="5"/>
      <c r="F81" s="5"/>
      <c r="G81" s="5"/>
      <c r="H81" s="5"/>
      <c r="I81" s="5"/>
      <c r="J81" s="5"/>
      <c r="K81" s="5"/>
    </row>
    <row r="82" spans="2:11" ht="36" x14ac:dyDescent="0.25">
      <c r="B82" s="975"/>
      <c r="C82" s="94"/>
      <c r="D82" s="46" t="s">
        <v>1211</v>
      </c>
      <c r="E82" s="5"/>
      <c r="F82" s="5"/>
      <c r="G82" s="5"/>
      <c r="H82" s="5"/>
      <c r="I82" s="5"/>
      <c r="J82" s="5"/>
      <c r="K82" s="5"/>
    </row>
    <row r="83" spans="2:11" ht="84.75" thickBot="1" x14ac:dyDescent="0.3">
      <c r="B83" s="976"/>
      <c r="C83" s="2"/>
      <c r="D83" s="40" t="s">
        <v>1212</v>
      </c>
      <c r="E83" s="5"/>
      <c r="F83" s="5"/>
      <c r="G83" s="5"/>
      <c r="H83" s="5"/>
      <c r="I83" s="5"/>
      <c r="J83" s="5"/>
      <c r="K83" s="5"/>
    </row>
    <row r="84" spans="2:11" ht="24.75" thickBot="1" x14ac:dyDescent="0.3">
      <c r="B84" s="47" t="s">
        <v>704</v>
      </c>
      <c r="C84" s="2"/>
      <c r="D84" s="40"/>
      <c r="E84" s="5"/>
      <c r="F84" s="5"/>
      <c r="G84" s="5"/>
      <c r="H84" s="5"/>
      <c r="I84" s="5"/>
      <c r="J84" s="5"/>
      <c r="K84" s="5"/>
    </row>
    <row r="85" spans="2:11" ht="84" x14ac:dyDescent="0.25">
      <c r="B85" s="974" t="s">
        <v>705</v>
      </c>
      <c r="C85" s="94"/>
      <c r="D85" s="46" t="s">
        <v>1213</v>
      </c>
      <c r="E85" s="5"/>
      <c r="F85" s="5"/>
      <c r="G85" s="5"/>
      <c r="H85" s="5"/>
      <c r="I85" s="5"/>
      <c r="J85" s="5"/>
      <c r="K85" s="5"/>
    </row>
    <row r="86" spans="2:11" ht="96" x14ac:dyDescent="0.25">
      <c r="B86" s="975"/>
      <c r="C86" s="94"/>
      <c r="D86" s="46" t="s">
        <v>1214</v>
      </c>
      <c r="E86" s="5"/>
      <c r="F86" s="5"/>
      <c r="G86" s="5"/>
      <c r="H86" s="5"/>
      <c r="I86" s="5"/>
      <c r="J86" s="5"/>
      <c r="K86" s="5"/>
    </row>
    <row r="87" spans="2:11" ht="132" x14ac:dyDescent="0.25">
      <c r="B87" s="975"/>
      <c r="C87" s="94"/>
      <c r="D87" s="46" t="s">
        <v>1215</v>
      </c>
      <c r="E87" s="5"/>
      <c r="F87" s="5"/>
      <c r="G87" s="5"/>
      <c r="H87" s="5"/>
      <c r="I87" s="5"/>
      <c r="J87" s="5"/>
      <c r="K87" s="5"/>
    </row>
    <row r="88" spans="2:11" ht="144.75" thickBot="1" x14ac:dyDescent="0.3">
      <c r="B88" s="976"/>
      <c r="C88" s="2"/>
      <c r="D88" s="40" t="s">
        <v>1216</v>
      </c>
      <c r="E88" s="5"/>
      <c r="F88" s="5"/>
      <c r="G88" s="5"/>
      <c r="H88" s="5"/>
      <c r="I88" s="5"/>
      <c r="J88" s="5"/>
      <c r="K88" s="5"/>
    </row>
    <row r="89" spans="2:11" ht="24" x14ac:dyDescent="0.25">
      <c r="B89" s="974" t="s">
        <v>722</v>
      </c>
      <c r="C89" s="94"/>
      <c r="D89" s="53" t="s">
        <v>23</v>
      </c>
      <c r="E89" s="5"/>
      <c r="F89" s="5"/>
      <c r="G89" s="5"/>
      <c r="H89" s="5"/>
      <c r="I89" s="5"/>
      <c r="J89" s="5"/>
      <c r="K89" s="5"/>
    </row>
    <row r="90" spans="2:11" x14ac:dyDescent="0.25">
      <c r="B90" s="975"/>
      <c r="C90" s="94"/>
      <c r="D90" s="46" t="s">
        <v>1186</v>
      </c>
      <c r="E90" s="5"/>
      <c r="F90" s="5"/>
      <c r="G90" s="5"/>
      <c r="H90" s="5"/>
      <c r="I90" s="5"/>
      <c r="J90" s="5"/>
      <c r="K90" s="5"/>
    </row>
    <row r="91" spans="2:11" x14ac:dyDescent="0.25">
      <c r="B91" s="975"/>
      <c r="C91" s="94"/>
      <c r="D91" s="46" t="s">
        <v>723</v>
      </c>
      <c r="E91" s="5"/>
      <c r="F91" s="5"/>
      <c r="G91" s="5"/>
      <c r="H91" s="5"/>
      <c r="I91" s="5"/>
      <c r="J91" s="5"/>
      <c r="K91" s="5"/>
    </row>
    <row r="92" spans="2:11" ht="37.5" x14ac:dyDescent="0.25">
      <c r="B92" s="975"/>
      <c r="C92" s="94"/>
      <c r="D92" s="46" t="s">
        <v>1217</v>
      </c>
      <c r="E92" s="5"/>
      <c r="F92" s="5"/>
      <c r="G92" s="5"/>
      <c r="H92" s="5"/>
      <c r="I92" s="5"/>
      <c r="J92" s="5"/>
      <c r="K92" s="5"/>
    </row>
    <row r="93" spans="2:11" ht="37.5" x14ac:dyDescent="0.25">
      <c r="B93" s="975"/>
      <c r="C93" s="94"/>
      <c r="D93" s="46" t="s">
        <v>1218</v>
      </c>
      <c r="E93" s="5"/>
      <c r="F93" s="5"/>
      <c r="G93" s="5"/>
      <c r="H93" s="5"/>
      <c r="I93" s="5"/>
      <c r="J93" s="5"/>
      <c r="K93" s="5"/>
    </row>
    <row r="94" spans="2:11" ht="37.5" x14ac:dyDescent="0.25">
      <c r="B94" s="975"/>
      <c r="C94" s="94"/>
      <c r="D94" s="46" t="s">
        <v>1219</v>
      </c>
      <c r="E94" s="5"/>
      <c r="F94" s="5"/>
      <c r="G94" s="5"/>
      <c r="H94" s="5"/>
      <c r="I94" s="5"/>
      <c r="J94" s="5"/>
      <c r="K94" s="5"/>
    </row>
    <row r="95" spans="2:11" ht="84" x14ac:dyDescent="0.25">
      <c r="B95" s="975"/>
      <c r="C95" s="94"/>
      <c r="D95" s="54" t="s">
        <v>892</v>
      </c>
      <c r="E95" s="5"/>
      <c r="F95" s="5"/>
      <c r="G95" s="5"/>
      <c r="H95" s="5"/>
      <c r="I95" s="5"/>
      <c r="J95" s="5"/>
      <c r="K95" s="5"/>
    </row>
    <row r="96" spans="2:11" x14ac:dyDescent="0.25">
      <c r="B96" s="975"/>
      <c r="C96" s="94"/>
      <c r="D96" s="53" t="s">
        <v>866</v>
      </c>
      <c r="E96" s="5"/>
      <c r="F96" s="5"/>
      <c r="G96" s="5"/>
      <c r="H96" s="5"/>
      <c r="I96" s="5"/>
      <c r="J96" s="5"/>
      <c r="K96" s="5"/>
    </row>
    <row r="97" spans="2:11" ht="24" x14ac:dyDescent="0.25">
      <c r="B97" s="975"/>
      <c r="C97" s="94"/>
      <c r="D97" s="53" t="s">
        <v>1220</v>
      </c>
      <c r="E97" s="5"/>
      <c r="F97" s="5"/>
      <c r="G97" s="5"/>
      <c r="H97" s="5"/>
      <c r="I97" s="5"/>
      <c r="J97" s="5"/>
      <c r="K97" s="5"/>
    </row>
    <row r="98" spans="2:11" x14ac:dyDescent="0.25">
      <c r="B98" s="975"/>
      <c r="C98" s="94"/>
      <c r="D98" s="16"/>
      <c r="E98" s="5"/>
      <c r="F98" s="5"/>
      <c r="G98" s="5"/>
      <c r="H98" s="5"/>
      <c r="I98" s="5"/>
      <c r="J98" s="5"/>
      <c r="K98" s="5"/>
    </row>
    <row r="99" spans="2:11" x14ac:dyDescent="0.25">
      <c r="B99" s="975"/>
      <c r="C99" s="94"/>
      <c r="D99" s="46" t="s">
        <v>723</v>
      </c>
      <c r="E99" s="5"/>
      <c r="F99" s="5"/>
      <c r="G99" s="5"/>
      <c r="H99" s="5"/>
      <c r="I99" s="5"/>
      <c r="J99" s="5"/>
      <c r="K99" s="5"/>
    </row>
    <row r="100" spans="2:11" ht="49.5" x14ac:dyDescent="0.25">
      <c r="B100" s="975"/>
      <c r="C100" s="94"/>
      <c r="D100" s="46" t="s">
        <v>1221</v>
      </c>
      <c r="E100" s="5"/>
      <c r="F100" s="5"/>
      <c r="G100" s="5"/>
      <c r="H100" s="5"/>
      <c r="I100" s="5"/>
      <c r="J100" s="5"/>
      <c r="K100" s="5"/>
    </row>
    <row r="101" spans="2:11" ht="50.25" thickBot="1" x14ac:dyDescent="0.3">
      <c r="B101" s="976"/>
      <c r="C101" s="2"/>
      <c r="D101" s="40" t="s">
        <v>1222</v>
      </c>
      <c r="E101" s="5"/>
      <c r="F101" s="5"/>
      <c r="G101" s="5"/>
      <c r="H101" s="5"/>
      <c r="I101" s="5"/>
      <c r="J101" s="5"/>
      <c r="K101" s="5"/>
    </row>
    <row r="102" spans="2:11" x14ac:dyDescent="0.25">
      <c r="B102" s="5"/>
      <c r="D102" s="5"/>
      <c r="E102" s="5"/>
      <c r="F102" s="5"/>
      <c r="G102" s="5"/>
      <c r="H102" s="5"/>
      <c r="I102" s="5"/>
      <c r="J102" s="5"/>
      <c r="K102" s="5"/>
    </row>
    <row r="103" spans="2:11" x14ac:dyDescent="0.25">
      <c r="B103" s="5"/>
      <c r="D103" s="5"/>
      <c r="E103" s="5"/>
      <c r="F103" s="5"/>
      <c r="G103" s="5"/>
      <c r="H103" s="5"/>
      <c r="I103" s="5"/>
      <c r="J103" s="5"/>
      <c r="K103" s="5"/>
    </row>
    <row r="104" spans="2:11" x14ac:dyDescent="0.25">
      <c r="B104" s="5"/>
      <c r="D104" s="5"/>
      <c r="E104" s="5"/>
      <c r="F104" s="5"/>
      <c r="G104" s="5"/>
      <c r="H104" s="5"/>
      <c r="I104" s="5"/>
      <c r="J104" s="5"/>
      <c r="K104" s="5"/>
    </row>
    <row r="105" spans="2:11" x14ac:dyDescent="0.25">
      <c r="B105" s="5"/>
      <c r="D105" s="5"/>
      <c r="E105" s="5"/>
      <c r="F105" s="5"/>
      <c r="G105" s="5"/>
      <c r="H105" s="5"/>
      <c r="I105" s="5"/>
      <c r="J105" s="5"/>
      <c r="K105" s="5"/>
    </row>
    <row r="106" spans="2:11" x14ac:dyDescent="0.25">
      <c r="B106" s="5"/>
      <c r="D106" s="5"/>
      <c r="E106" s="5"/>
      <c r="F106" s="5"/>
      <c r="G106" s="5"/>
      <c r="H106" s="5"/>
      <c r="I106" s="5"/>
      <c r="J106" s="5"/>
      <c r="K106" s="5"/>
    </row>
    <row r="107" spans="2:11" x14ac:dyDescent="0.25">
      <c r="B107" s="5"/>
      <c r="D107" s="5"/>
      <c r="E107" s="5"/>
      <c r="F107" s="5"/>
      <c r="G107" s="5"/>
      <c r="H107" s="5"/>
      <c r="I107" s="5"/>
      <c r="J107" s="5"/>
      <c r="K107" s="5"/>
    </row>
    <row r="108" spans="2:11" x14ac:dyDescent="0.25">
      <c r="B108" s="5"/>
      <c r="D108" s="5"/>
      <c r="E108" s="5"/>
      <c r="F108" s="5"/>
      <c r="G108" s="5"/>
      <c r="H108" s="5"/>
      <c r="I108" s="5"/>
      <c r="J108" s="5"/>
      <c r="K108" s="5"/>
    </row>
    <row r="109" spans="2:11" x14ac:dyDescent="0.25">
      <c r="B109" s="5"/>
      <c r="D109" s="5"/>
      <c r="E109" s="5"/>
      <c r="F109" s="5"/>
      <c r="G109" s="5"/>
      <c r="H109" s="5"/>
      <c r="I109" s="5"/>
      <c r="J109" s="5"/>
      <c r="K109" s="5"/>
    </row>
    <row r="110" spans="2:11" x14ac:dyDescent="0.25">
      <c r="B110" s="5"/>
      <c r="D110" s="5"/>
      <c r="E110" s="5"/>
      <c r="F110" s="5"/>
      <c r="G110" s="5"/>
      <c r="H110" s="5"/>
      <c r="I110" s="5"/>
      <c r="J110" s="5"/>
      <c r="K110" s="5"/>
    </row>
    <row r="111" spans="2:11" x14ac:dyDescent="0.25">
      <c r="B111" s="5"/>
      <c r="D111" s="5"/>
      <c r="E111" s="5"/>
      <c r="F111" s="5"/>
      <c r="G111" s="5"/>
      <c r="H111" s="5"/>
      <c r="I111" s="5"/>
      <c r="J111" s="5"/>
      <c r="K111" s="5"/>
    </row>
    <row r="112" spans="2:11" x14ac:dyDescent="0.25">
      <c r="B112" s="5"/>
      <c r="D112" s="5"/>
      <c r="E112" s="5"/>
      <c r="F112" s="5"/>
      <c r="G112" s="5"/>
      <c r="H112" s="5"/>
      <c r="I112" s="5"/>
      <c r="J112" s="5"/>
      <c r="K112" s="5"/>
    </row>
    <row r="113" spans="2:11" x14ac:dyDescent="0.25">
      <c r="B113" s="5"/>
      <c r="D113" s="5"/>
      <c r="E113" s="5"/>
      <c r="F113" s="5"/>
      <c r="G113" s="5"/>
      <c r="H113" s="5"/>
      <c r="I113" s="5"/>
      <c r="J113" s="5"/>
      <c r="K113" s="5"/>
    </row>
    <row r="114" spans="2:11" x14ac:dyDescent="0.25">
      <c r="B114" s="5"/>
      <c r="D114" s="5"/>
      <c r="E114" s="5"/>
      <c r="F114" s="5"/>
      <c r="G114" s="5"/>
      <c r="H114" s="5"/>
      <c r="I114" s="5"/>
      <c r="J114" s="5"/>
      <c r="K114" s="5"/>
    </row>
    <row r="115" spans="2:11" x14ac:dyDescent="0.25">
      <c r="B115" s="5"/>
      <c r="D115" s="5"/>
      <c r="E115" s="5"/>
      <c r="F115" s="5"/>
      <c r="G115" s="5"/>
      <c r="H115" s="5"/>
      <c r="I115" s="5"/>
      <c r="J115" s="5"/>
      <c r="K115" s="5"/>
    </row>
    <row r="116" spans="2:11" x14ac:dyDescent="0.25">
      <c r="B116" s="5"/>
      <c r="D116" s="5"/>
      <c r="E116" s="5"/>
      <c r="F116" s="5"/>
      <c r="G116" s="5"/>
      <c r="H116" s="5"/>
      <c r="I116" s="5"/>
      <c r="J116" s="5"/>
      <c r="K116" s="5"/>
    </row>
    <row r="117" spans="2:11" x14ac:dyDescent="0.25">
      <c r="B117" s="5"/>
      <c r="D117" s="5"/>
      <c r="E117" s="5"/>
      <c r="F117" s="5"/>
      <c r="G117" s="5"/>
      <c r="H117" s="5"/>
      <c r="I117" s="5"/>
      <c r="J117" s="5"/>
      <c r="K117" s="5"/>
    </row>
    <row r="118" spans="2:11" x14ac:dyDescent="0.25">
      <c r="B118" s="5"/>
      <c r="D118" s="5"/>
      <c r="E118" s="5"/>
      <c r="F118" s="5"/>
      <c r="G118" s="5"/>
      <c r="H118" s="5"/>
      <c r="I118" s="5"/>
      <c r="J118" s="5"/>
      <c r="K118" s="5"/>
    </row>
    <row r="119" spans="2:11" x14ac:dyDescent="0.25">
      <c r="B119" s="5"/>
      <c r="D119" s="5"/>
      <c r="E119" s="5"/>
      <c r="F119" s="5"/>
      <c r="G119" s="5"/>
      <c r="H119" s="5"/>
      <c r="I119" s="5"/>
      <c r="J119" s="5"/>
      <c r="K119" s="5"/>
    </row>
    <row r="120" spans="2:11" x14ac:dyDescent="0.25">
      <c r="B120" s="5"/>
      <c r="D120" s="5"/>
      <c r="E120" s="5"/>
      <c r="F120" s="5"/>
      <c r="G120" s="5"/>
      <c r="H120" s="5"/>
      <c r="I120" s="5"/>
      <c r="J120" s="5"/>
      <c r="K120" s="5"/>
    </row>
    <row r="121" spans="2:11" x14ac:dyDescent="0.25">
      <c r="B121" s="5"/>
      <c r="D121" s="5"/>
      <c r="E121" s="5"/>
      <c r="F121" s="5"/>
      <c r="G121" s="5"/>
      <c r="H121" s="5"/>
      <c r="I121" s="5"/>
      <c r="J121" s="5"/>
      <c r="K121" s="5"/>
    </row>
    <row r="122" spans="2:11" x14ac:dyDescent="0.25">
      <c r="B122" s="5"/>
      <c r="D122" s="5"/>
      <c r="E122" s="5"/>
      <c r="F122" s="5"/>
      <c r="G122" s="5"/>
      <c r="H122" s="5"/>
      <c r="I122" s="5"/>
      <c r="J122" s="5"/>
      <c r="K122" s="5"/>
    </row>
    <row r="123" spans="2:11" x14ac:dyDescent="0.25">
      <c r="B123" s="5"/>
      <c r="D123" s="5"/>
      <c r="E123" s="5"/>
      <c r="F123" s="5"/>
      <c r="G123" s="5"/>
      <c r="H123" s="5"/>
      <c r="I123" s="5"/>
      <c r="J123" s="5"/>
      <c r="K123" s="5"/>
    </row>
    <row r="124" spans="2:11" x14ac:dyDescent="0.25">
      <c r="B124" s="5"/>
      <c r="D124" s="5"/>
      <c r="E124" s="5"/>
      <c r="F124" s="5"/>
      <c r="G124" s="5"/>
      <c r="H124" s="5"/>
      <c r="I124" s="5"/>
      <c r="J124" s="5"/>
      <c r="K124" s="5"/>
    </row>
    <row r="125" spans="2:11" x14ac:dyDescent="0.25">
      <c r="B125" s="5"/>
      <c r="D125" s="5"/>
      <c r="E125" s="5"/>
      <c r="F125" s="5"/>
      <c r="G125" s="5"/>
      <c r="H125" s="5"/>
      <c r="I125" s="5"/>
      <c r="J125" s="5"/>
      <c r="K125" s="5"/>
    </row>
    <row r="126" spans="2:11" x14ac:dyDescent="0.25">
      <c r="B126" s="5"/>
      <c r="D126" s="5"/>
      <c r="E126" s="5"/>
      <c r="F126" s="5"/>
      <c r="G126" s="5"/>
      <c r="H126" s="5"/>
      <c r="I126" s="5"/>
      <c r="J126" s="5"/>
      <c r="K126" s="5"/>
    </row>
    <row r="127" spans="2:11" x14ac:dyDescent="0.25">
      <c r="B127" s="5"/>
      <c r="D127" s="5"/>
      <c r="E127" s="5"/>
      <c r="F127" s="5"/>
      <c r="G127" s="5"/>
      <c r="H127" s="5"/>
      <c r="I127" s="5"/>
      <c r="J127" s="5"/>
      <c r="K127" s="5"/>
    </row>
    <row r="128" spans="2:11" x14ac:dyDescent="0.25">
      <c r="B128" s="5"/>
      <c r="D128" s="5"/>
      <c r="E128" s="5"/>
      <c r="F128" s="5"/>
      <c r="G128" s="5"/>
      <c r="H128" s="5"/>
      <c r="I128" s="5"/>
      <c r="J128" s="5"/>
      <c r="K128" s="5"/>
    </row>
    <row r="129" spans="2:11" x14ac:dyDescent="0.25">
      <c r="B129" s="5"/>
      <c r="D129" s="5"/>
      <c r="E129" s="5"/>
      <c r="F129" s="5"/>
      <c r="G129" s="5"/>
      <c r="H129" s="5"/>
      <c r="I129" s="5"/>
      <c r="J129" s="5"/>
      <c r="K129" s="5"/>
    </row>
    <row r="130" spans="2:11" x14ac:dyDescent="0.25">
      <c r="B130" s="5"/>
      <c r="D130" s="5"/>
      <c r="E130" s="5"/>
      <c r="F130" s="5"/>
      <c r="G130" s="5"/>
      <c r="H130" s="5"/>
      <c r="I130" s="5"/>
      <c r="J130" s="5"/>
      <c r="K130" s="5"/>
    </row>
    <row r="131" spans="2:11" x14ac:dyDescent="0.25">
      <c r="B131" s="5"/>
      <c r="D131" s="5"/>
      <c r="E131" s="5"/>
      <c r="F131" s="5"/>
      <c r="G131" s="5"/>
      <c r="H131" s="5"/>
      <c r="I131" s="5"/>
      <c r="J131" s="5"/>
      <c r="K131" s="5"/>
    </row>
    <row r="132" spans="2:11" x14ac:dyDescent="0.25">
      <c r="B132" s="5"/>
      <c r="D132" s="5"/>
      <c r="E132" s="5"/>
      <c r="F132" s="5"/>
      <c r="G132" s="5"/>
      <c r="H132" s="5"/>
      <c r="I132" s="5"/>
      <c r="J132" s="5"/>
      <c r="K132" s="5"/>
    </row>
    <row r="133" spans="2:11" x14ac:dyDescent="0.25">
      <c r="B133" s="5"/>
      <c r="D133" s="5"/>
      <c r="E133" s="5"/>
      <c r="F133" s="5"/>
      <c r="G133" s="5"/>
      <c r="H133" s="5"/>
      <c r="I133" s="5"/>
      <c r="J133" s="5"/>
      <c r="K133" s="5"/>
    </row>
    <row r="134" spans="2:11" x14ac:dyDescent="0.25">
      <c r="B134" s="5"/>
      <c r="D134" s="5"/>
      <c r="E134" s="5"/>
      <c r="F134" s="5"/>
      <c r="G134" s="5"/>
      <c r="H134" s="5"/>
      <c r="I134" s="5"/>
      <c r="J134" s="5"/>
      <c r="K134" s="5"/>
    </row>
    <row r="135" spans="2:11" x14ac:dyDescent="0.25">
      <c r="B135" s="5"/>
      <c r="D135" s="5"/>
      <c r="E135" s="5"/>
      <c r="F135" s="5"/>
      <c r="G135" s="5"/>
      <c r="H135" s="5"/>
      <c r="I135" s="5"/>
      <c r="J135" s="5"/>
      <c r="K135" s="5"/>
    </row>
    <row r="136" spans="2:11" x14ac:dyDescent="0.25">
      <c r="B136" s="5"/>
      <c r="D136" s="5"/>
      <c r="E136" s="5"/>
      <c r="F136" s="5"/>
      <c r="G136" s="5"/>
      <c r="H136" s="5"/>
      <c r="I136" s="5"/>
      <c r="J136" s="5"/>
      <c r="K136" s="5"/>
    </row>
    <row r="137" spans="2:11" x14ac:dyDescent="0.25">
      <c r="B137" s="5"/>
      <c r="D137" s="5"/>
      <c r="E137" s="5"/>
      <c r="F137" s="5"/>
      <c r="G137" s="5"/>
      <c r="H137" s="5"/>
      <c r="I137" s="5"/>
      <c r="J137" s="5"/>
      <c r="K137" s="5"/>
    </row>
    <row r="138" spans="2:11" x14ac:dyDescent="0.25">
      <c r="B138" s="5"/>
      <c r="D138" s="5"/>
      <c r="E138" s="5"/>
      <c r="F138" s="5"/>
      <c r="G138" s="5"/>
      <c r="H138" s="5"/>
      <c r="I138" s="5"/>
      <c r="J138" s="5"/>
      <c r="K138" s="5"/>
    </row>
    <row r="139" spans="2:11" x14ac:dyDescent="0.25">
      <c r="B139" s="5"/>
      <c r="D139" s="5"/>
      <c r="E139" s="5"/>
      <c r="F139" s="5"/>
      <c r="G139" s="5"/>
      <c r="H139" s="5"/>
      <c r="I139" s="5"/>
      <c r="J139" s="5"/>
      <c r="K139" s="5"/>
    </row>
    <row r="140" spans="2:11" x14ac:dyDescent="0.25">
      <c r="B140" s="5"/>
      <c r="D140" s="5"/>
      <c r="E140" s="5"/>
      <c r="F140" s="5"/>
      <c r="G140" s="5"/>
      <c r="H140" s="5"/>
      <c r="I140" s="5"/>
      <c r="J140" s="5"/>
      <c r="K140" s="5"/>
    </row>
    <row r="141" spans="2:11" x14ac:dyDescent="0.25">
      <c r="B141" s="5"/>
      <c r="D141" s="5"/>
      <c r="E141" s="5"/>
      <c r="F141" s="5"/>
      <c r="G141" s="5"/>
      <c r="H141" s="5"/>
      <c r="I141" s="5"/>
      <c r="J141" s="5"/>
      <c r="K141" s="5"/>
    </row>
    <row r="142" spans="2:11" x14ac:dyDescent="0.25">
      <c r="B142" s="5"/>
      <c r="D142" s="5"/>
      <c r="E142" s="5"/>
      <c r="F142" s="5"/>
      <c r="G142" s="5"/>
      <c r="H142" s="5"/>
      <c r="I142" s="5"/>
      <c r="J142" s="5"/>
      <c r="K142" s="5"/>
    </row>
    <row r="143" spans="2:11" x14ac:dyDescent="0.25">
      <c r="B143" s="5"/>
      <c r="D143" s="5"/>
      <c r="E143" s="5"/>
      <c r="F143" s="5"/>
      <c r="G143" s="5"/>
      <c r="H143" s="5"/>
      <c r="I143" s="5"/>
      <c r="J143" s="5"/>
      <c r="K143" s="5"/>
    </row>
    <row r="144" spans="2:11" x14ac:dyDescent="0.25">
      <c r="B144" s="5"/>
      <c r="D144" s="5"/>
      <c r="E144" s="5"/>
      <c r="F144" s="5"/>
      <c r="G144" s="5"/>
      <c r="H144" s="5"/>
      <c r="I144" s="5"/>
      <c r="J144" s="5"/>
      <c r="K144" s="5"/>
    </row>
    <row r="145" spans="2:11" x14ac:dyDescent="0.25">
      <c r="B145" s="5"/>
      <c r="D145" s="5"/>
      <c r="E145" s="5"/>
      <c r="F145" s="5"/>
      <c r="G145" s="5"/>
      <c r="H145" s="5"/>
      <c r="I145" s="5"/>
      <c r="J145" s="5"/>
      <c r="K145" s="5"/>
    </row>
    <row r="146" spans="2:11" x14ac:dyDescent="0.25">
      <c r="B146" s="5"/>
      <c r="D146" s="5"/>
      <c r="E146" s="5"/>
      <c r="F146" s="5"/>
      <c r="G146" s="5"/>
      <c r="H146" s="5"/>
      <c r="I146" s="5"/>
      <c r="J146" s="5"/>
      <c r="K146" s="5"/>
    </row>
    <row r="147" spans="2:11" x14ac:dyDescent="0.25">
      <c r="B147" s="5"/>
      <c r="D147" s="5"/>
      <c r="E147" s="5"/>
      <c r="F147" s="5"/>
      <c r="G147" s="5"/>
      <c r="H147" s="5"/>
      <c r="I147" s="5"/>
      <c r="J147" s="5"/>
      <c r="K147" s="5"/>
    </row>
    <row r="148" spans="2:11" x14ac:dyDescent="0.25">
      <c r="B148" s="5"/>
      <c r="D148" s="5"/>
      <c r="E148" s="5"/>
      <c r="F148" s="5"/>
      <c r="G148" s="5"/>
      <c r="H148" s="5"/>
      <c r="I148" s="5"/>
      <c r="J148" s="5"/>
      <c r="K148" s="5"/>
    </row>
    <row r="149" spans="2:11" x14ac:dyDescent="0.25">
      <c r="B149" s="5"/>
      <c r="D149" s="5"/>
      <c r="E149" s="5"/>
      <c r="F149" s="5"/>
      <c r="G149" s="5"/>
      <c r="H149" s="5"/>
      <c r="I149" s="5"/>
      <c r="J149" s="5"/>
      <c r="K149" s="5"/>
    </row>
    <row r="150" spans="2:11" x14ac:dyDescent="0.25">
      <c r="B150" s="5"/>
      <c r="D150" s="5"/>
      <c r="E150" s="5"/>
      <c r="F150" s="5"/>
      <c r="G150" s="5"/>
      <c r="H150" s="5"/>
      <c r="I150" s="5"/>
      <c r="J150" s="5"/>
      <c r="K150" s="5"/>
    </row>
    <row r="151" spans="2:11" x14ac:dyDescent="0.25">
      <c r="B151" s="5"/>
      <c r="D151" s="5"/>
      <c r="E151" s="5"/>
      <c r="F151" s="5"/>
      <c r="G151" s="5"/>
      <c r="H151" s="5"/>
      <c r="I151" s="5"/>
      <c r="J151" s="5"/>
      <c r="K151" s="5"/>
    </row>
    <row r="152" spans="2:11" x14ac:dyDescent="0.25">
      <c r="B152" s="5"/>
      <c r="D152" s="5"/>
      <c r="E152" s="5"/>
      <c r="F152" s="5"/>
      <c r="G152" s="5"/>
      <c r="H152" s="5"/>
      <c r="I152" s="5"/>
      <c r="J152" s="5"/>
      <c r="K152" s="5"/>
    </row>
    <row r="153" spans="2:11" x14ac:dyDescent="0.25">
      <c r="B153" s="5"/>
      <c r="D153" s="5"/>
      <c r="E153" s="5"/>
      <c r="F153" s="5"/>
      <c r="G153" s="5"/>
      <c r="H153" s="5"/>
      <c r="I153" s="5"/>
      <c r="J153" s="5"/>
      <c r="K153" s="5"/>
    </row>
    <row r="154" spans="2:11" x14ac:dyDescent="0.25">
      <c r="B154" s="5"/>
      <c r="D154" s="5"/>
      <c r="E154" s="5"/>
      <c r="F154" s="5"/>
      <c r="G154" s="5"/>
      <c r="H154" s="5"/>
      <c r="I154" s="5"/>
      <c r="J154" s="5"/>
      <c r="K154" s="5"/>
    </row>
    <row r="155" spans="2:11" x14ac:dyDescent="0.25">
      <c r="B155" s="5"/>
      <c r="D155" s="5"/>
      <c r="E155" s="5"/>
      <c r="F155" s="5"/>
      <c r="G155" s="5"/>
      <c r="H155" s="5"/>
      <c r="I155" s="5"/>
      <c r="J155" s="5"/>
      <c r="K155" s="5"/>
    </row>
    <row r="156" spans="2:11" x14ac:dyDescent="0.25">
      <c r="B156" s="5"/>
      <c r="D156" s="5"/>
      <c r="E156" s="5"/>
      <c r="F156" s="5"/>
      <c r="G156" s="5"/>
      <c r="H156" s="5"/>
      <c r="I156" s="5"/>
      <c r="J156" s="5"/>
      <c r="K156" s="5"/>
    </row>
    <row r="157" spans="2:11" x14ac:dyDescent="0.25">
      <c r="B157" s="5"/>
      <c r="D157" s="5"/>
      <c r="E157" s="5"/>
      <c r="F157" s="5"/>
      <c r="G157" s="5"/>
      <c r="H157" s="5"/>
      <c r="I157" s="5"/>
      <c r="J157" s="5"/>
      <c r="K157" s="5"/>
    </row>
    <row r="158" spans="2:11" x14ac:dyDescent="0.25">
      <c r="B158" s="5"/>
      <c r="D158" s="5"/>
      <c r="E158" s="5"/>
      <c r="F158" s="5"/>
      <c r="G158" s="5"/>
      <c r="H158" s="5"/>
      <c r="I158" s="5"/>
      <c r="J158" s="5"/>
      <c r="K158" s="5"/>
    </row>
    <row r="159" spans="2:11" x14ac:dyDescent="0.25">
      <c r="B159" s="5"/>
      <c r="D159" s="5"/>
      <c r="E159" s="5"/>
      <c r="F159" s="5"/>
      <c r="G159" s="5"/>
      <c r="H159" s="5"/>
      <c r="I159" s="5"/>
      <c r="J159" s="5"/>
      <c r="K159" s="5"/>
    </row>
    <row r="160" spans="2:11" x14ac:dyDescent="0.25">
      <c r="B160" s="5"/>
      <c r="D160" s="5"/>
      <c r="E160" s="5"/>
      <c r="F160" s="5"/>
      <c r="G160" s="5"/>
      <c r="H160" s="5"/>
      <c r="I160" s="5"/>
      <c r="J160" s="5"/>
      <c r="K160" s="5"/>
    </row>
    <row r="161" spans="2:11" x14ac:dyDescent="0.25">
      <c r="B161" s="5"/>
      <c r="D161" s="5"/>
      <c r="E161" s="5"/>
      <c r="F161" s="5"/>
      <c r="G161" s="5"/>
      <c r="H161" s="5"/>
      <c r="I161" s="5"/>
      <c r="J161" s="5"/>
      <c r="K161" s="5"/>
    </row>
    <row r="162" spans="2:11" x14ac:dyDescent="0.25">
      <c r="B162" s="5"/>
      <c r="D162" s="5"/>
      <c r="E162" s="5"/>
      <c r="F162" s="5"/>
      <c r="G162" s="5"/>
      <c r="H162" s="5"/>
      <c r="I162" s="5"/>
      <c r="J162" s="5"/>
      <c r="K162" s="5"/>
    </row>
    <row r="163" spans="2:11" x14ac:dyDescent="0.25">
      <c r="B163" s="5"/>
      <c r="D163" s="5"/>
      <c r="E163" s="5"/>
      <c r="F163" s="5"/>
      <c r="G163" s="5"/>
      <c r="H163" s="5"/>
      <c r="I163" s="5"/>
      <c r="J163" s="5"/>
      <c r="K163" s="5"/>
    </row>
    <row r="164" spans="2:11" x14ac:dyDescent="0.25">
      <c r="B164" s="5"/>
      <c r="D164" s="5"/>
      <c r="E164" s="5"/>
      <c r="F164" s="5"/>
      <c r="G164" s="5"/>
      <c r="H164" s="5"/>
      <c r="I164" s="5"/>
      <c r="J164" s="5"/>
      <c r="K164" s="5"/>
    </row>
    <row r="165" spans="2:11" x14ac:dyDescent="0.25">
      <c r="B165" s="5"/>
      <c r="D165" s="5"/>
      <c r="E165" s="5"/>
      <c r="F165" s="5"/>
      <c r="G165" s="5"/>
      <c r="H165" s="5"/>
      <c r="I165" s="5"/>
      <c r="J165" s="5"/>
      <c r="K165" s="5"/>
    </row>
    <row r="166" spans="2:11" x14ac:dyDescent="0.25">
      <c r="B166" s="5"/>
      <c r="D166" s="5"/>
      <c r="E166" s="5"/>
      <c r="F166" s="5"/>
      <c r="G166" s="5"/>
      <c r="H166" s="5"/>
      <c r="I166" s="5"/>
      <c r="J166" s="5"/>
      <c r="K166" s="5"/>
    </row>
    <row r="167" spans="2:11" x14ac:dyDescent="0.25">
      <c r="B167" s="5"/>
      <c r="D167" s="5"/>
      <c r="E167" s="5"/>
      <c r="F167" s="5"/>
      <c r="G167" s="5"/>
      <c r="H167" s="5"/>
      <c r="I167" s="5"/>
      <c r="J167" s="5"/>
      <c r="K167" s="5"/>
    </row>
    <row r="168" spans="2:11" x14ac:dyDescent="0.25">
      <c r="B168" s="5"/>
      <c r="D168" s="5"/>
      <c r="E168" s="5"/>
      <c r="F168" s="5"/>
      <c r="G168" s="5"/>
      <c r="H168" s="5"/>
      <c r="I168" s="5"/>
      <c r="J168" s="5"/>
      <c r="K168" s="5"/>
    </row>
    <row r="169" spans="2:11" x14ac:dyDescent="0.25">
      <c r="B169" s="5"/>
      <c r="D169" s="5"/>
      <c r="E169" s="5"/>
      <c r="F169" s="5"/>
      <c r="G169" s="5"/>
      <c r="H169" s="5"/>
      <c r="I169" s="5"/>
      <c r="J169" s="5"/>
      <c r="K169" s="5"/>
    </row>
    <row r="170" spans="2:11" x14ac:dyDescent="0.25">
      <c r="B170" s="5"/>
      <c r="D170" s="5"/>
      <c r="E170" s="5"/>
      <c r="F170" s="5"/>
      <c r="G170" s="5"/>
      <c r="H170" s="5"/>
      <c r="I170" s="5"/>
      <c r="J170" s="5"/>
      <c r="K170" s="5"/>
    </row>
    <row r="171" spans="2:11" x14ac:dyDescent="0.25">
      <c r="B171" s="5"/>
      <c r="D171" s="5"/>
      <c r="E171" s="5"/>
      <c r="F171" s="5"/>
      <c r="G171" s="5"/>
      <c r="H171" s="5"/>
      <c r="I171" s="5"/>
      <c r="J171" s="5"/>
      <c r="K171" s="5"/>
    </row>
    <row r="172" spans="2:11" x14ac:dyDescent="0.25">
      <c r="B172" s="5"/>
      <c r="D172" s="5"/>
      <c r="E172" s="5"/>
      <c r="F172" s="5"/>
      <c r="G172" s="5"/>
      <c r="H172" s="5"/>
      <c r="I172" s="5"/>
      <c r="J172" s="5"/>
      <c r="K172" s="5"/>
    </row>
    <row r="173" spans="2:11" x14ac:dyDescent="0.25">
      <c r="B173" s="5"/>
      <c r="D173" s="5"/>
      <c r="E173" s="5"/>
      <c r="F173" s="5"/>
      <c r="G173" s="5"/>
      <c r="H173" s="5"/>
      <c r="I173" s="5"/>
      <c r="J173" s="5"/>
      <c r="K173" s="5"/>
    </row>
    <row r="174" spans="2:11" x14ac:dyDescent="0.25">
      <c r="B174" s="5"/>
      <c r="D174" s="5"/>
      <c r="E174" s="5"/>
      <c r="F174" s="5"/>
      <c r="G174" s="5"/>
      <c r="H174" s="5"/>
      <c r="I174" s="5"/>
      <c r="J174" s="5"/>
      <c r="K174" s="5"/>
    </row>
    <row r="175" spans="2:11" x14ac:dyDescent="0.25">
      <c r="B175" s="5"/>
      <c r="D175" s="5"/>
      <c r="E175" s="5"/>
      <c r="F175" s="5"/>
      <c r="G175" s="5"/>
      <c r="H175" s="5"/>
      <c r="I175" s="5"/>
      <c r="J175" s="5"/>
      <c r="K175" s="5"/>
    </row>
    <row r="176" spans="2:11" x14ac:dyDescent="0.25">
      <c r="B176" s="5"/>
      <c r="D176" s="5"/>
      <c r="E176" s="5"/>
      <c r="F176" s="5"/>
      <c r="G176" s="5"/>
      <c r="H176" s="5"/>
      <c r="I176" s="5"/>
      <c r="J176" s="5"/>
      <c r="K176" s="5"/>
    </row>
    <row r="177" spans="2:11" x14ac:dyDescent="0.25">
      <c r="B177" s="5"/>
      <c r="D177" s="5"/>
      <c r="E177" s="5"/>
      <c r="F177" s="5"/>
      <c r="G177" s="5"/>
      <c r="H177" s="5"/>
      <c r="I177" s="5"/>
      <c r="J177" s="5"/>
      <c r="K177" s="5"/>
    </row>
    <row r="178" spans="2:11" x14ac:dyDescent="0.25">
      <c r="B178" s="5"/>
      <c r="D178" s="5"/>
      <c r="E178" s="5"/>
      <c r="F178" s="5"/>
      <c r="G178" s="5"/>
      <c r="H178" s="5"/>
      <c r="I178" s="5"/>
      <c r="J178" s="5"/>
      <c r="K178" s="5"/>
    </row>
    <row r="179" spans="2:11" x14ac:dyDescent="0.25">
      <c r="B179" s="5"/>
      <c r="D179" s="5"/>
      <c r="E179" s="5"/>
      <c r="F179" s="5"/>
      <c r="G179" s="5"/>
      <c r="H179" s="5"/>
      <c r="I179" s="5"/>
      <c r="J179" s="5"/>
      <c r="K179" s="5"/>
    </row>
    <row r="180" spans="2:11" x14ac:dyDescent="0.25">
      <c r="B180" s="5"/>
      <c r="D180" s="5"/>
      <c r="E180" s="5"/>
      <c r="F180" s="5"/>
      <c r="G180" s="5"/>
      <c r="H180" s="5"/>
      <c r="I180" s="5"/>
      <c r="J180" s="5"/>
      <c r="K180" s="5"/>
    </row>
  </sheetData>
  <sheetProtection insertRows="0"/>
  <mergeCells count="38">
    <mergeCell ref="B10:D10"/>
    <mergeCell ref="F10:S10"/>
    <mergeCell ref="F11:S11"/>
    <mergeCell ref="E12:R12"/>
    <mergeCell ref="A1:P1"/>
    <mergeCell ref="A2:P2"/>
    <mergeCell ref="A3:P3"/>
    <mergeCell ref="A4:D4"/>
    <mergeCell ref="A5:P5"/>
    <mergeCell ref="B71:B83"/>
    <mergeCell ref="B85:B88"/>
    <mergeCell ref="B89:B101"/>
    <mergeCell ref="D16:D17"/>
    <mergeCell ref="E16:G16"/>
    <mergeCell ref="D38:L38"/>
    <mergeCell ref="D39:L39"/>
    <mergeCell ref="B41:E41"/>
    <mergeCell ref="B42:B48"/>
    <mergeCell ref="D24:L24"/>
    <mergeCell ref="D25:L25"/>
    <mergeCell ref="K16:K17"/>
    <mergeCell ref="C26:C27"/>
    <mergeCell ref="D26:D27"/>
    <mergeCell ref="E26:E27"/>
    <mergeCell ref="F26:F27"/>
    <mergeCell ref="E13:R13"/>
    <mergeCell ref="B50:E50"/>
    <mergeCell ref="B51:B57"/>
    <mergeCell ref="B64:D65"/>
    <mergeCell ref="K26:K27"/>
    <mergeCell ref="B15:B37"/>
    <mergeCell ref="D15:L15"/>
    <mergeCell ref="D22:L22"/>
    <mergeCell ref="L26:L27"/>
    <mergeCell ref="G26:G27"/>
    <mergeCell ref="J26:J27"/>
    <mergeCell ref="H16:J16"/>
    <mergeCell ref="D23:L23"/>
  </mergeCells>
  <conditionalFormatting sqref="E12:R12">
    <cfRule type="expression" dxfId="69" priority="1">
      <formula>E11="SI SE REPORTA"</formula>
    </cfRule>
  </conditionalFormatting>
  <conditionalFormatting sqref="F10">
    <cfRule type="notContainsBlanks" dxfId="68" priority="4">
      <formula>LEN(TRIM(F10))&gt;0</formula>
    </cfRule>
  </conditionalFormatting>
  <conditionalFormatting sqref="F11:S11">
    <cfRule type="expression" dxfId="67" priority="2">
      <formula>E11="NO SE REPORTA"</formula>
    </cfRule>
    <cfRule type="expression" dxfId="66" priority="3">
      <formula>E10="NO APLICA"</formula>
    </cfRule>
  </conditionalFormatting>
  <dataValidations count="4">
    <dataValidation type="list" allowBlank="1" showInputMessage="1" showErrorMessage="1" sqref="E10" xr:uid="{00000000-0002-0000-1600-000003000000}">
      <formula1>SI</formula1>
    </dataValidation>
    <dataValidation type="list" allowBlank="1" showInputMessage="1" showErrorMessage="1" sqref="E11" xr:uid="{00000000-0002-0000-1600-000002000000}">
      <formula1>REPORTE</formula1>
    </dataValidation>
    <dataValidation type="whole" operator="greaterThanOrEqual" allowBlank="1" showInputMessage="1" showErrorMessage="1" errorTitle="ERROR" error="Valor en PESOS (sin centavos)" sqref="H28:K36" xr:uid="{00000000-0002-0000-1600-000001000000}">
      <formula1>0</formula1>
    </dataValidation>
    <dataValidation type="whole" operator="greaterThanOrEqual" allowBlank="1" showErrorMessage="1" errorTitle="ERROR" error="Escriba un número igual o mayor que 0" promptTitle="ERROR" prompt="Escriba un número igual o mayor que 0" sqref="H18:I20 E18:F20" xr:uid="{00000000-0002-0000-1600-000000000000}">
      <formula1>0</formula1>
    </dataValidation>
  </dataValidations>
  <hyperlinks>
    <hyperlink ref="B9" location="'ANEXO 3'!A1" display="VOLVER AL INDICE" xr:uid="{FDBBACA5-7794-4CCF-A913-33F3048DB1E2}"/>
    <hyperlink ref="E46" r:id="rId1" xr:uid="{3D88C3E7-642A-4343-960A-E33C51961CE2}"/>
  </hyperlinks>
  <pageMargins left="0.25" right="0.25" top="0.75" bottom="0.75" header="0.3" footer="0.3"/>
  <pageSetup paperSize="178" orientation="landscape" horizontalDpi="1200" verticalDpi="12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92B52-623F-4C47-8991-744061F3E8D5}">
  <dimension ref="A1:U179"/>
  <sheetViews>
    <sheetView showGridLines="0" topLeftCell="A15" zoomScale="98" zoomScaleNormal="98" workbookViewId="0">
      <selection activeCell="D18" sqref="D18:I18"/>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24</v>
      </c>
      <c r="B5" s="998"/>
      <c r="C5" s="998"/>
      <c r="D5" s="998"/>
      <c r="E5" s="998"/>
      <c r="F5" s="998"/>
      <c r="G5" s="998"/>
      <c r="H5" s="998"/>
      <c r="I5" s="998"/>
      <c r="J5" s="998"/>
      <c r="K5" s="998"/>
      <c r="L5" s="998"/>
      <c r="M5" s="998"/>
      <c r="N5" s="998"/>
      <c r="O5" s="998"/>
      <c r="P5" s="999"/>
    </row>
    <row r="6" spans="1:21" x14ac:dyDescent="0.25">
      <c r="B6" s="1" t="s">
        <v>626</v>
      </c>
      <c r="C6" s="76"/>
      <c r="D6" s="5"/>
      <c r="E6" s="74"/>
      <c r="F6" s="5" t="s">
        <v>627</v>
      </c>
      <c r="G6" s="5"/>
      <c r="H6" s="5"/>
      <c r="I6" s="5"/>
      <c r="J6" s="5"/>
      <c r="K6" s="5"/>
    </row>
    <row r="7" spans="1:21" ht="15.75" thickBot="1" x14ac:dyDescent="0.3">
      <c r="B7" s="75"/>
      <c r="C7" s="76"/>
      <c r="D7" s="5"/>
      <c r="E7" s="17"/>
      <c r="F7" s="5" t="s">
        <v>628</v>
      </c>
      <c r="G7" s="5"/>
      <c r="H7" s="5"/>
      <c r="I7" s="5"/>
      <c r="J7" s="5"/>
      <c r="K7" s="5"/>
    </row>
    <row r="8" spans="1:21" ht="15.75" thickBot="1" x14ac:dyDescent="0.3">
      <c r="B8" s="172" t="s">
        <v>629</v>
      </c>
      <c r="C8" s="211">
        <v>2024</v>
      </c>
      <c r="D8" s="305">
        <f>IF(E10="NO APLICA","NO APLICA",IF(E11="NO SE REPORTA","SIN INFORMACION",+G22))</f>
        <v>0</v>
      </c>
      <c r="E8" s="212"/>
      <c r="F8" s="5" t="s">
        <v>630</v>
      </c>
      <c r="G8" s="5"/>
      <c r="H8" s="5"/>
      <c r="I8" s="5"/>
      <c r="J8" s="5"/>
      <c r="K8" s="5"/>
    </row>
    <row r="9" spans="1:21" x14ac:dyDescent="0.25">
      <c r="B9" s="358" t="s">
        <v>631</v>
      </c>
      <c r="C9" s="88"/>
      <c r="D9" s="5"/>
      <c r="E9" s="5"/>
      <c r="F9" s="5"/>
      <c r="G9" s="5"/>
      <c r="H9" s="5"/>
      <c r="I9" s="5"/>
      <c r="J9" s="5"/>
      <c r="K9" s="5"/>
    </row>
    <row r="10" spans="1:21" x14ac:dyDescent="0.25">
      <c r="B10" s="1008" t="s">
        <v>632</v>
      </c>
      <c r="C10" s="1008"/>
      <c r="D10" s="1008"/>
      <c r="E10" s="361" t="s">
        <v>633</v>
      </c>
      <c r="F10" s="995" t="s">
        <v>2320</v>
      </c>
      <c r="G10" s="996"/>
      <c r="H10" s="996"/>
      <c r="I10" s="996"/>
      <c r="J10" s="996"/>
      <c r="K10" s="996"/>
      <c r="L10" s="996"/>
      <c r="M10" s="996"/>
      <c r="N10" s="996"/>
      <c r="O10" s="996"/>
      <c r="P10" s="996"/>
      <c r="Q10" s="996"/>
      <c r="R10" s="996"/>
      <c r="S10" s="996"/>
      <c r="T10" s="5"/>
      <c r="U10" s="5"/>
    </row>
    <row r="11" spans="1:21" ht="14.45" customHeight="1" x14ac:dyDescent="0.25">
      <c r="B11" s="360"/>
      <c r="C11" s="88"/>
      <c r="D11" s="171" t="str">
        <f>IF(E10="SI APLICA","¿El indicador no se reporta por limitaciones de información disponible? ","")</f>
        <v xml:space="preserve">¿El indicador no se reporta por limitaciones de información disponible? </v>
      </c>
      <c r="E11" s="362" t="s">
        <v>634</v>
      </c>
      <c r="F11" s="1009" t="s">
        <v>2320</v>
      </c>
      <c r="G11" s="1010"/>
      <c r="H11" s="1010"/>
      <c r="I11" s="1010"/>
      <c r="J11" s="1010"/>
      <c r="K11" s="1010"/>
      <c r="L11" s="1010"/>
      <c r="M11" s="1010"/>
      <c r="N11" s="1010"/>
      <c r="O11" s="1010"/>
      <c r="P11" s="1010"/>
      <c r="Q11" s="1010"/>
      <c r="R11" s="1010"/>
      <c r="S11" s="1010"/>
    </row>
    <row r="12" spans="1:21" ht="23.45" customHeight="1" x14ac:dyDescent="0.25">
      <c r="B12" s="358"/>
      <c r="C12" s="88"/>
      <c r="D12" s="171" t="str">
        <f>IF(E11="SI SE REPORTA","¿Qué programas o proyectos del Plan de Acción están asociados al indicador? ","")</f>
        <v xml:space="preserve">¿Qué programas o proyectos del Plan de Acción están asociados al indicador? </v>
      </c>
      <c r="E12" s="1011" t="s">
        <v>2315</v>
      </c>
      <c r="F12" s="1011"/>
      <c r="G12" s="1011"/>
      <c r="H12" s="1011"/>
      <c r="I12" s="1011"/>
      <c r="J12" s="1011"/>
      <c r="K12" s="1011"/>
      <c r="L12" s="1011"/>
      <c r="M12" s="1011"/>
      <c r="N12" s="1011"/>
      <c r="O12" s="1011"/>
      <c r="P12" s="1011"/>
      <c r="Q12" s="1011"/>
      <c r="R12" s="1011"/>
    </row>
    <row r="13" spans="1:21" ht="21.95" customHeight="1" x14ac:dyDescent="0.25">
      <c r="B13" s="358"/>
      <c r="C13" s="88"/>
      <c r="D13" s="171" t="s">
        <v>635</v>
      </c>
      <c r="E13" s="1012"/>
      <c r="F13" s="1013"/>
      <c r="G13" s="1013"/>
      <c r="H13" s="1013"/>
      <c r="I13" s="1013"/>
      <c r="J13" s="1013"/>
      <c r="K13" s="1013"/>
      <c r="L13" s="1013"/>
      <c r="M13" s="1013"/>
      <c r="N13" s="1013"/>
      <c r="O13" s="1013"/>
      <c r="P13" s="1013"/>
      <c r="Q13" s="1013"/>
      <c r="R13" s="1014"/>
    </row>
    <row r="14" spans="1:21" ht="6.95" customHeight="1" thickBot="1" x14ac:dyDescent="0.3">
      <c r="B14" s="358"/>
      <c r="C14" s="88"/>
      <c r="D14" s="5"/>
      <c r="E14" s="5"/>
      <c r="F14" s="5"/>
      <c r="G14" s="5"/>
      <c r="H14" s="5"/>
      <c r="I14" s="5"/>
      <c r="J14" s="5"/>
      <c r="K14" s="5"/>
    </row>
    <row r="15" spans="1:21" ht="15.6" customHeight="1" thickTop="1" thickBot="1" x14ac:dyDescent="0.3">
      <c r="B15" s="1066" t="s">
        <v>636</v>
      </c>
      <c r="C15" s="89"/>
      <c r="D15" s="956" t="s">
        <v>940</v>
      </c>
      <c r="E15" s="957"/>
      <c r="F15" s="957"/>
      <c r="G15" s="957"/>
      <c r="H15" s="957"/>
      <c r="I15" s="957"/>
      <c r="J15" s="957"/>
      <c r="K15" s="958"/>
    </row>
    <row r="16" spans="1:21" ht="15.75" thickBot="1" x14ac:dyDescent="0.3">
      <c r="B16" s="1067"/>
      <c r="C16" s="94"/>
      <c r="D16" s="43" t="s">
        <v>763</v>
      </c>
      <c r="E16" s="66" t="s">
        <v>587</v>
      </c>
      <c r="F16" s="66" t="s">
        <v>588</v>
      </c>
      <c r="G16" s="66" t="s">
        <v>589</v>
      </c>
      <c r="H16" s="304" t="s">
        <v>590</v>
      </c>
      <c r="I16" s="303"/>
      <c r="J16" s="5"/>
      <c r="K16" s="21"/>
    </row>
    <row r="17" spans="2:11" ht="36.75" thickBot="1" x14ac:dyDescent="0.3">
      <c r="B17" s="1067"/>
      <c r="C17" s="94"/>
      <c r="D17" s="40" t="s">
        <v>1223</v>
      </c>
      <c r="E17" s="186">
        <v>0</v>
      </c>
      <c r="F17" s="186">
        <v>500</v>
      </c>
      <c r="G17" s="186">
        <v>500</v>
      </c>
      <c r="H17" s="186">
        <v>500</v>
      </c>
      <c r="I17" s="303"/>
      <c r="J17" s="5"/>
      <c r="K17" s="21"/>
    </row>
    <row r="18" spans="2:11" ht="24.75" thickBot="1" x14ac:dyDescent="0.3">
      <c r="B18" s="1067"/>
      <c r="C18" s="94"/>
      <c r="D18" s="40" t="s">
        <v>1224</v>
      </c>
      <c r="E18" s="186"/>
      <c r="F18" s="186"/>
      <c r="G18" s="186"/>
      <c r="H18" s="335"/>
      <c r="I18" s="303"/>
      <c r="J18" s="5"/>
      <c r="K18" s="21"/>
    </row>
    <row r="19" spans="2:11" ht="15.75" thickBot="1" x14ac:dyDescent="0.3">
      <c r="B19" s="1067"/>
      <c r="C19" s="94"/>
      <c r="D19" s="40" t="s">
        <v>1225</v>
      </c>
      <c r="E19" s="186"/>
      <c r="F19" s="186"/>
      <c r="G19" s="186"/>
      <c r="H19" s="335"/>
      <c r="I19" s="303"/>
      <c r="J19" s="5"/>
      <c r="K19" s="21"/>
    </row>
    <row r="20" spans="2:11" ht="15.75" thickBot="1" x14ac:dyDescent="0.3">
      <c r="B20" s="1067"/>
      <c r="C20" s="94"/>
      <c r="D20" s="40" t="s">
        <v>1226</v>
      </c>
      <c r="E20" s="186"/>
      <c r="F20" s="186"/>
      <c r="G20" s="186"/>
      <c r="H20" s="335"/>
      <c r="I20" s="303"/>
      <c r="J20" s="5"/>
      <c r="K20" s="21"/>
    </row>
    <row r="21" spans="2:11" ht="15.75" thickBot="1" x14ac:dyDescent="0.3">
      <c r="B21" s="1067"/>
      <c r="C21" s="94"/>
      <c r="D21" s="40" t="s">
        <v>764</v>
      </c>
      <c r="E21" s="139">
        <f>SUM(E18:E20)</f>
        <v>0</v>
      </c>
      <c r="F21" s="139">
        <f>SUM(F18:F20)</f>
        <v>0</v>
      </c>
      <c r="G21" s="139">
        <f>SUM(G18:G20)</f>
        <v>0</v>
      </c>
      <c r="H21" s="139">
        <f>SUM(H18:H20)</f>
        <v>0</v>
      </c>
      <c r="I21" s="303"/>
      <c r="J21" s="5"/>
      <c r="K21" s="21"/>
    </row>
    <row r="22" spans="2:11" ht="36.75" thickBot="1" x14ac:dyDescent="0.3">
      <c r="B22" s="1067"/>
      <c r="C22" s="101"/>
      <c r="D22" s="52" t="s">
        <v>24</v>
      </c>
      <c r="E22" s="140" t="e">
        <f>+E21/E17</f>
        <v>#DIV/0!</v>
      </c>
      <c r="F22" s="140">
        <f>+F21/F17</f>
        <v>0</v>
      </c>
      <c r="G22" s="140">
        <f>+G21/G17</f>
        <v>0</v>
      </c>
      <c r="H22" s="140">
        <f>+H21/H17</f>
        <v>0</v>
      </c>
      <c r="I22" s="303"/>
      <c r="J22" s="5"/>
      <c r="K22" s="21"/>
    </row>
    <row r="23" spans="2:11" x14ac:dyDescent="0.25">
      <c r="B23" s="1067"/>
      <c r="C23" s="92"/>
      <c r="D23" s="959" t="s">
        <v>866</v>
      </c>
      <c r="E23" s="960"/>
      <c r="F23" s="960"/>
      <c r="G23" s="960"/>
      <c r="H23" s="960"/>
      <c r="I23" s="960"/>
      <c r="J23" s="960"/>
      <c r="K23" s="961"/>
    </row>
    <row r="24" spans="2:11" x14ac:dyDescent="0.25">
      <c r="B24" s="1067"/>
      <c r="C24" s="92"/>
      <c r="D24" s="959" t="s">
        <v>1227</v>
      </c>
      <c r="E24" s="960"/>
      <c r="F24" s="960"/>
      <c r="G24" s="960"/>
      <c r="H24" s="960"/>
      <c r="I24" s="960"/>
      <c r="J24" s="960"/>
      <c r="K24" s="961"/>
    </row>
    <row r="25" spans="2:11" ht="15.75" thickBot="1" x14ac:dyDescent="0.3">
      <c r="B25" s="1067"/>
      <c r="C25" s="92"/>
      <c r="D25" s="986" t="s">
        <v>947</v>
      </c>
      <c r="E25" s="987"/>
      <c r="F25" s="987"/>
      <c r="G25" s="987"/>
      <c r="H25" s="987"/>
      <c r="I25" s="987"/>
      <c r="J25" s="987"/>
      <c r="K25" s="988"/>
    </row>
    <row r="26" spans="2:11" ht="57" thickBot="1" x14ac:dyDescent="0.3">
      <c r="B26" s="218"/>
      <c r="C26" s="98" t="s">
        <v>585</v>
      </c>
      <c r="D26" s="66" t="s">
        <v>868</v>
      </c>
      <c r="E26" s="66" t="s">
        <v>1228</v>
      </c>
      <c r="F26" s="66" t="s">
        <v>1229</v>
      </c>
      <c r="G26" s="66" t="s">
        <v>950</v>
      </c>
      <c r="H26" s="66" t="s">
        <v>951</v>
      </c>
      <c r="I26" s="66" t="s">
        <v>872</v>
      </c>
      <c r="J26" s="66" t="s">
        <v>873</v>
      </c>
      <c r="K26" s="66" t="s">
        <v>593</v>
      </c>
    </row>
    <row r="27" spans="2:11" ht="60.75" thickBot="1" x14ac:dyDescent="0.3">
      <c r="B27" s="218"/>
      <c r="C27" s="2">
        <v>1</v>
      </c>
      <c r="D27" s="29" t="s">
        <v>1980</v>
      </c>
      <c r="E27" s="336"/>
      <c r="F27" s="207"/>
      <c r="G27" s="207"/>
      <c r="H27" s="207"/>
      <c r="I27" s="207"/>
      <c r="J27" s="207"/>
      <c r="K27" s="207"/>
    </row>
    <row r="28" spans="2:11" ht="15.75" thickBot="1" x14ac:dyDescent="0.3">
      <c r="B28" s="218"/>
      <c r="C28" s="2">
        <v>2</v>
      </c>
      <c r="D28" s="30"/>
      <c r="E28" s="336"/>
      <c r="F28" s="207"/>
      <c r="G28" s="207"/>
      <c r="H28" s="207"/>
      <c r="I28" s="207"/>
      <c r="J28" s="207"/>
      <c r="K28" s="207"/>
    </row>
    <row r="29" spans="2:11" ht="15.75" thickBot="1" x14ac:dyDescent="0.3">
      <c r="B29" s="218"/>
      <c r="C29" s="2">
        <v>3</v>
      </c>
      <c r="D29" s="30"/>
      <c r="E29" s="336"/>
      <c r="F29" s="207"/>
      <c r="G29" s="207"/>
      <c r="H29" s="207"/>
      <c r="I29" s="207"/>
      <c r="J29" s="207"/>
      <c r="K29" s="207"/>
    </row>
    <row r="30" spans="2:11" ht="15.75" thickBot="1" x14ac:dyDescent="0.3">
      <c r="B30" s="218"/>
      <c r="C30" s="2">
        <v>4</v>
      </c>
      <c r="D30" s="30"/>
      <c r="E30" s="30"/>
      <c r="F30" s="207"/>
      <c r="G30" s="207"/>
      <c r="H30" s="207"/>
      <c r="I30" s="207"/>
      <c r="J30" s="207"/>
      <c r="K30" s="207"/>
    </row>
    <row r="31" spans="2:11" ht="15.75" thickBot="1" x14ac:dyDescent="0.3">
      <c r="B31" s="218"/>
      <c r="C31" s="2">
        <v>5</v>
      </c>
      <c r="D31" s="30"/>
      <c r="E31" s="30"/>
      <c r="F31" s="207"/>
      <c r="G31" s="207"/>
      <c r="H31" s="207"/>
      <c r="I31" s="207"/>
      <c r="J31" s="207"/>
      <c r="K31" s="207"/>
    </row>
    <row r="32" spans="2:11" ht="15.75" thickBot="1" x14ac:dyDescent="0.3">
      <c r="B32" s="218"/>
      <c r="C32" s="2">
        <v>6</v>
      </c>
      <c r="D32" s="30"/>
      <c r="E32" s="30"/>
      <c r="F32" s="207"/>
      <c r="G32" s="207"/>
      <c r="H32" s="207"/>
      <c r="I32" s="207"/>
      <c r="J32" s="207"/>
      <c r="K32" s="207"/>
    </row>
    <row r="33" spans="2:11" ht="15.75" thickBot="1" x14ac:dyDescent="0.3">
      <c r="B33" s="47"/>
      <c r="C33" s="2"/>
      <c r="D33" s="40" t="s">
        <v>764</v>
      </c>
      <c r="E33" s="40"/>
      <c r="F33" s="135">
        <f>SUM(F27:F32)</f>
        <v>0</v>
      </c>
      <c r="G33" s="135">
        <f>SUM(G27:G32)</f>
        <v>0</v>
      </c>
      <c r="H33" s="135">
        <f>SUM(H27:H32)</f>
        <v>0</v>
      </c>
      <c r="I33" s="135">
        <f>SUM(I27:I32)</f>
        <v>0</v>
      </c>
      <c r="J33" s="135">
        <f>SUM(J27:J32)</f>
        <v>0</v>
      </c>
      <c r="K33" s="207"/>
    </row>
    <row r="34" spans="2:11" ht="24" customHeight="1" thickBot="1" x14ac:dyDescent="0.3">
      <c r="B34" s="72" t="s">
        <v>671</v>
      </c>
      <c r="C34" s="107"/>
      <c r="D34" s="983" t="s">
        <v>1230</v>
      </c>
      <c r="E34" s="984"/>
      <c r="F34" s="984"/>
      <c r="G34" s="984"/>
      <c r="H34" s="984"/>
      <c r="I34" s="984"/>
      <c r="J34" s="984"/>
      <c r="K34" s="985"/>
    </row>
    <row r="35" spans="2:11" ht="24" customHeight="1" thickBot="1" x14ac:dyDescent="0.3">
      <c r="B35" s="72" t="s">
        <v>673</v>
      </c>
      <c r="C35" s="107"/>
      <c r="D35" s="983" t="s">
        <v>953</v>
      </c>
      <c r="E35" s="984"/>
      <c r="F35" s="984"/>
      <c r="G35" s="984"/>
      <c r="H35" s="984"/>
      <c r="I35" s="984"/>
      <c r="J35" s="984"/>
      <c r="K35" s="985"/>
    </row>
    <row r="36" spans="2:11" ht="15.75" thickBot="1" x14ac:dyDescent="0.3">
      <c r="B36" s="1"/>
      <c r="C36" s="76"/>
      <c r="D36" s="5"/>
      <c r="E36" s="5"/>
      <c r="F36" s="5"/>
      <c r="G36" s="5"/>
      <c r="H36" s="5"/>
      <c r="I36" s="5"/>
      <c r="J36" s="5"/>
      <c r="K36" s="5"/>
    </row>
    <row r="37" spans="2:11" ht="24" customHeight="1" thickBot="1" x14ac:dyDescent="0.3">
      <c r="B37" s="971" t="s">
        <v>675</v>
      </c>
      <c r="C37" s="972"/>
      <c r="D37" s="972"/>
      <c r="E37" s="973"/>
      <c r="F37" s="5"/>
      <c r="G37" s="5"/>
      <c r="H37" s="5"/>
      <c r="I37" s="5"/>
      <c r="J37" s="5"/>
      <c r="K37" s="5"/>
    </row>
    <row r="38" spans="2:11" ht="48.75" thickBot="1" x14ac:dyDescent="0.3">
      <c r="B38" s="974">
        <v>1</v>
      </c>
      <c r="C38" s="94"/>
      <c r="D38" s="48" t="s">
        <v>676</v>
      </c>
      <c r="E38" s="337" t="s">
        <v>2301</v>
      </c>
      <c r="F38" s="5"/>
      <c r="G38" s="5"/>
      <c r="H38" s="5"/>
      <c r="I38" s="5"/>
      <c r="J38" s="5"/>
      <c r="K38" s="5"/>
    </row>
    <row r="39" spans="2:11" ht="48.75" thickBot="1" x14ac:dyDescent="0.3">
      <c r="B39" s="975"/>
      <c r="C39" s="94"/>
      <c r="D39" s="40" t="s">
        <v>525</v>
      </c>
      <c r="E39" s="337" t="s">
        <v>2311</v>
      </c>
      <c r="F39" s="5"/>
      <c r="G39" s="5"/>
      <c r="H39" s="5"/>
      <c r="I39" s="5"/>
      <c r="J39" s="5"/>
      <c r="K39" s="5"/>
    </row>
    <row r="40" spans="2:11" ht="36.75" thickBot="1" x14ac:dyDescent="0.3">
      <c r="B40" s="975"/>
      <c r="C40" s="94"/>
      <c r="D40" s="40" t="s">
        <v>677</v>
      </c>
      <c r="E40" s="337" t="s">
        <v>2303</v>
      </c>
      <c r="F40" s="5"/>
      <c r="G40" s="5"/>
      <c r="H40" s="5"/>
      <c r="I40" s="5"/>
      <c r="J40" s="5"/>
      <c r="K40" s="5"/>
    </row>
    <row r="41" spans="2:11" ht="15.75" thickBot="1" x14ac:dyDescent="0.3">
      <c r="B41" s="975"/>
      <c r="C41" s="94"/>
      <c r="D41" s="40" t="s">
        <v>527</v>
      </c>
      <c r="E41" s="337" t="s">
        <v>2304</v>
      </c>
      <c r="F41" s="5"/>
      <c r="G41" s="5"/>
      <c r="H41" s="5"/>
      <c r="I41" s="5"/>
      <c r="J41" s="5"/>
      <c r="K41" s="5"/>
    </row>
    <row r="42" spans="2:11" ht="60.75" thickBot="1" x14ac:dyDescent="0.3">
      <c r="B42" s="975"/>
      <c r="C42" s="94"/>
      <c r="D42" s="40" t="s">
        <v>529</v>
      </c>
      <c r="E42" s="766" t="s">
        <v>2309</v>
      </c>
      <c r="F42" s="5"/>
      <c r="G42" s="5"/>
      <c r="H42" s="5"/>
      <c r="I42" s="5"/>
      <c r="J42" s="5"/>
      <c r="K42" s="5"/>
    </row>
    <row r="43" spans="2:11" ht="15.75" thickBot="1" x14ac:dyDescent="0.3">
      <c r="B43" s="975"/>
      <c r="C43" s="94"/>
      <c r="D43" s="40" t="s">
        <v>531</v>
      </c>
      <c r="E43" s="337">
        <v>5748960</v>
      </c>
      <c r="F43" s="5"/>
      <c r="G43" s="5"/>
      <c r="H43" s="5"/>
      <c r="I43" s="5"/>
      <c r="J43" s="5"/>
      <c r="K43" s="5"/>
    </row>
    <row r="44" spans="2:11" ht="60.75" thickBot="1" x14ac:dyDescent="0.3">
      <c r="B44" s="976"/>
      <c r="C44" s="2"/>
      <c r="D44" s="40" t="s">
        <v>678</v>
      </c>
      <c r="E44" s="337" t="s">
        <v>2312</v>
      </c>
      <c r="F44" s="5"/>
      <c r="G44" s="5"/>
      <c r="H44" s="5"/>
      <c r="I44" s="5"/>
      <c r="J44" s="5"/>
      <c r="K44" s="5"/>
    </row>
    <row r="45" spans="2:11" ht="15.75" thickBot="1" x14ac:dyDescent="0.3">
      <c r="B45" s="1"/>
      <c r="C45" s="76"/>
      <c r="D45" s="5"/>
      <c r="E45" s="5"/>
      <c r="F45" s="5"/>
      <c r="G45" s="5"/>
      <c r="H45" s="5"/>
      <c r="I45" s="5"/>
      <c r="J45" s="5"/>
      <c r="K45" s="5"/>
    </row>
    <row r="46" spans="2:11" ht="15.75" thickBot="1" x14ac:dyDescent="0.3">
      <c r="B46" s="971" t="s">
        <v>679</v>
      </c>
      <c r="C46" s="972"/>
      <c r="D46" s="972"/>
      <c r="E46" s="973"/>
      <c r="F46" s="5"/>
      <c r="G46" s="5"/>
      <c r="H46" s="5"/>
      <c r="I46" s="5"/>
      <c r="J46" s="5"/>
      <c r="K46" s="5"/>
    </row>
    <row r="47" spans="2:11" ht="15.75" thickBot="1" x14ac:dyDescent="0.3">
      <c r="B47" s="974">
        <v>1</v>
      </c>
      <c r="C47" s="94"/>
      <c r="D47" s="48" t="s">
        <v>676</v>
      </c>
      <c r="E47" s="219" t="s">
        <v>680</v>
      </c>
      <c r="F47" s="5"/>
      <c r="G47" s="5"/>
      <c r="H47" s="5"/>
      <c r="I47" s="5"/>
      <c r="J47" s="5"/>
      <c r="K47" s="5"/>
    </row>
    <row r="48" spans="2:11" ht="15.75" thickBot="1" x14ac:dyDescent="0.3">
      <c r="B48" s="975"/>
      <c r="C48" s="94"/>
      <c r="D48" s="40" t="s">
        <v>525</v>
      </c>
      <c r="E48" s="219" t="s">
        <v>773</v>
      </c>
      <c r="F48" s="5"/>
      <c r="G48" s="5"/>
      <c r="H48" s="5"/>
      <c r="I48" s="5"/>
      <c r="J48" s="5"/>
      <c r="K48" s="5"/>
    </row>
    <row r="49" spans="2:11" ht="15.75" thickBot="1" x14ac:dyDescent="0.3">
      <c r="B49" s="975"/>
      <c r="C49" s="94"/>
      <c r="D49" s="40" t="s">
        <v>677</v>
      </c>
      <c r="E49" s="239"/>
      <c r="F49" s="5"/>
      <c r="G49" s="5"/>
      <c r="H49" s="5"/>
      <c r="I49" s="5"/>
      <c r="J49" s="5"/>
      <c r="K49" s="5"/>
    </row>
    <row r="50" spans="2:11" ht="15.75" thickBot="1" x14ac:dyDescent="0.3">
      <c r="B50" s="975"/>
      <c r="C50" s="94"/>
      <c r="D50" s="40" t="s">
        <v>527</v>
      </c>
      <c r="E50" s="239"/>
      <c r="F50" s="5"/>
      <c r="G50" s="5"/>
      <c r="H50" s="5"/>
      <c r="I50" s="5"/>
      <c r="J50" s="5"/>
      <c r="K50" s="5"/>
    </row>
    <row r="51" spans="2:11" ht="15.75" thickBot="1" x14ac:dyDescent="0.3">
      <c r="B51" s="975"/>
      <c r="C51" s="94"/>
      <c r="D51" s="40" t="s">
        <v>529</v>
      </c>
      <c r="E51" s="239"/>
      <c r="F51" s="5"/>
      <c r="G51" s="5"/>
      <c r="H51" s="5"/>
      <c r="I51" s="5"/>
      <c r="J51" s="5"/>
      <c r="K51" s="5"/>
    </row>
    <row r="52" spans="2:11" ht="15.75" thickBot="1" x14ac:dyDescent="0.3">
      <c r="B52" s="975"/>
      <c r="C52" s="94"/>
      <c r="D52" s="40" t="s">
        <v>531</v>
      </c>
      <c r="E52" s="239"/>
      <c r="F52" s="5"/>
      <c r="G52" s="5"/>
      <c r="H52" s="5"/>
      <c r="I52" s="5"/>
      <c r="J52" s="5"/>
      <c r="K52" s="5"/>
    </row>
    <row r="53" spans="2:11" ht="15.75" thickBot="1" x14ac:dyDescent="0.3">
      <c r="B53" s="976"/>
      <c r="C53" s="2"/>
      <c r="D53" s="40" t="s">
        <v>678</v>
      </c>
      <c r="E53" s="239"/>
      <c r="F53" s="5"/>
      <c r="G53" s="5"/>
      <c r="H53" s="5"/>
      <c r="I53" s="5"/>
      <c r="J53" s="5"/>
      <c r="K53" s="5"/>
    </row>
    <row r="54" spans="2:11" ht="15.75" thickBot="1" x14ac:dyDescent="0.3">
      <c r="B54" s="1"/>
      <c r="C54" s="76"/>
      <c r="D54" s="5"/>
      <c r="E54" s="5"/>
      <c r="F54" s="5"/>
      <c r="G54" s="5"/>
      <c r="H54" s="5"/>
      <c r="I54" s="5"/>
      <c r="J54" s="5"/>
      <c r="K54" s="5"/>
    </row>
    <row r="55" spans="2:11" ht="15" customHeight="1" thickBot="1" x14ac:dyDescent="0.3">
      <c r="B55" s="122" t="s">
        <v>682</v>
      </c>
      <c r="C55" s="123"/>
      <c r="D55" s="123"/>
      <c r="E55" s="124"/>
      <c r="F55" s="5"/>
      <c r="G55" s="5"/>
      <c r="H55" s="5"/>
      <c r="I55" s="5"/>
      <c r="J55" s="5"/>
      <c r="K55" s="5"/>
    </row>
    <row r="56" spans="2:11" ht="24.75" thickBot="1" x14ac:dyDescent="0.3">
      <c r="B56" s="47" t="s">
        <v>683</v>
      </c>
      <c r="C56" s="40" t="s">
        <v>684</v>
      </c>
      <c r="D56" s="40" t="s">
        <v>685</v>
      </c>
      <c r="E56" s="40" t="s">
        <v>686</v>
      </c>
      <c r="F56" s="5"/>
      <c r="G56" s="5"/>
      <c r="H56" s="5"/>
      <c r="I56" s="5"/>
      <c r="J56" s="5"/>
    </row>
    <row r="57" spans="2:11" ht="72.75" thickBot="1" x14ac:dyDescent="0.3">
      <c r="B57" s="49">
        <v>42401</v>
      </c>
      <c r="C57" s="40">
        <v>0.01</v>
      </c>
      <c r="D57" s="50" t="s">
        <v>1231</v>
      </c>
      <c r="E57" s="40"/>
      <c r="F57" s="5"/>
      <c r="G57" s="5"/>
      <c r="H57" s="5"/>
      <c r="I57" s="5"/>
      <c r="J57" s="5"/>
    </row>
    <row r="58" spans="2:11" ht="15.75" thickBot="1" x14ac:dyDescent="0.3">
      <c r="B58" s="3"/>
      <c r="C58" s="95"/>
      <c r="D58" s="5"/>
      <c r="E58" s="5"/>
      <c r="F58" s="5"/>
      <c r="G58" s="5"/>
      <c r="H58" s="5"/>
      <c r="I58" s="5"/>
      <c r="J58" s="5"/>
      <c r="K58" s="5"/>
    </row>
    <row r="59" spans="2:11" x14ac:dyDescent="0.25">
      <c r="B59" s="129" t="s">
        <v>593</v>
      </c>
      <c r="C59" s="96"/>
      <c r="D59" s="5"/>
      <c r="E59" s="5"/>
      <c r="F59" s="5"/>
      <c r="G59" s="5"/>
      <c r="H59" s="5"/>
      <c r="I59" s="5"/>
      <c r="J59" s="5"/>
      <c r="K59" s="5"/>
    </row>
    <row r="60" spans="2:11" x14ac:dyDescent="0.25">
      <c r="B60" s="1021"/>
      <c r="C60" s="1022"/>
      <c r="D60" s="1022"/>
      <c r="E60" s="1023"/>
      <c r="F60" s="5"/>
      <c r="G60" s="5"/>
      <c r="H60" s="5"/>
      <c r="I60" s="5"/>
      <c r="J60" s="5"/>
      <c r="K60" s="5"/>
    </row>
    <row r="61" spans="2:11" x14ac:dyDescent="0.25">
      <c r="B61" s="1024"/>
      <c r="C61" s="1025"/>
      <c r="D61" s="1025"/>
      <c r="E61" s="1026"/>
      <c r="F61" s="5"/>
      <c r="G61" s="5"/>
      <c r="H61" s="5"/>
      <c r="I61" s="5"/>
      <c r="J61" s="5"/>
      <c r="K61" s="5"/>
    </row>
    <row r="62" spans="2:11" x14ac:dyDescent="0.25">
      <c r="B62" s="1"/>
      <c r="C62" s="76"/>
      <c r="D62" s="5"/>
      <c r="E62" s="5"/>
      <c r="F62" s="5"/>
      <c r="G62" s="5"/>
      <c r="H62" s="5"/>
      <c r="I62" s="5"/>
      <c r="J62" s="5"/>
      <c r="K62" s="5"/>
    </row>
    <row r="63" spans="2:11" ht="15.75" thickBot="1" x14ac:dyDescent="0.3">
      <c r="B63" s="5"/>
      <c r="D63" s="5"/>
      <c r="E63" s="5"/>
      <c r="F63" s="5"/>
      <c r="G63" s="5"/>
      <c r="H63" s="5"/>
      <c r="I63" s="5"/>
      <c r="J63" s="5"/>
      <c r="K63" s="5"/>
    </row>
    <row r="64" spans="2:11" ht="24.75" thickBot="1" x14ac:dyDescent="0.3">
      <c r="B64" s="51" t="s">
        <v>1135</v>
      </c>
      <c r="C64" s="97"/>
      <c r="D64" s="5"/>
      <c r="E64" s="5"/>
      <c r="F64" s="5"/>
      <c r="G64" s="5"/>
      <c r="H64" s="5"/>
      <c r="I64" s="5"/>
      <c r="J64" s="5"/>
      <c r="K64" s="5"/>
    </row>
    <row r="65" spans="2:11" ht="15.75" thickBot="1" x14ac:dyDescent="0.3">
      <c r="B65" s="37"/>
      <c r="C65" s="88"/>
      <c r="D65" s="5"/>
      <c r="E65" s="5"/>
      <c r="F65" s="5"/>
      <c r="G65" s="5"/>
      <c r="H65" s="5"/>
      <c r="I65" s="5"/>
      <c r="J65" s="5"/>
      <c r="K65" s="5"/>
    </row>
    <row r="66" spans="2:11" ht="72.75" thickBot="1" x14ac:dyDescent="0.3">
      <c r="B66" s="52" t="s">
        <v>689</v>
      </c>
      <c r="C66" s="98"/>
      <c r="D66" s="43" t="s">
        <v>1232</v>
      </c>
      <c r="E66" s="5"/>
      <c r="F66" s="5"/>
      <c r="G66" s="5"/>
      <c r="H66" s="5"/>
      <c r="I66" s="5"/>
      <c r="J66" s="5"/>
      <c r="K66" s="5"/>
    </row>
    <row r="67" spans="2:11" x14ac:dyDescent="0.25">
      <c r="B67" s="974" t="s">
        <v>691</v>
      </c>
      <c r="C67" s="94"/>
      <c r="D67" s="53" t="s">
        <v>692</v>
      </c>
      <c r="E67" s="5"/>
      <c r="F67" s="5"/>
      <c r="G67" s="5"/>
      <c r="H67" s="5"/>
      <c r="I67" s="5"/>
      <c r="J67" s="5"/>
      <c r="K67" s="5"/>
    </row>
    <row r="68" spans="2:11" ht="96" x14ac:dyDescent="0.25">
      <c r="B68" s="975"/>
      <c r="C68" s="94"/>
      <c r="D68" s="46" t="s">
        <v>1233</v>
      </c>
      <c r="E68" s="5"/>
      <c r="F68" s="5"/>
      <c r="G68" s="5"/>
      <c r="H68" s="5"/>
      <c r="I68" s="5"/>
      <c r="J68" s="5"/>
      <c r="K68" s="5"/>
    </row>
    <row r="69" spans="2:11" ht="36" x14ac:dyDescent="0.25">
      <c r="B69" s="975"/>
      <c r="C69" s="94"/>
      <c r="D69" s="46" t="s">
        <v>1234</v>
      </c>
      <c r="E69" s="5"/>
      <c r="F69" s="5"/>
      <c r="G69" s="5"/>
      <c r="H69" s="5"/>
      <c r="I69" s="5"/>
      <c r="J69" s="5"/>
      <c r="K69" s="5"/>
    </row>
    <row r="70" spans="2:11" x14ac:dyDescent="0.25">
      <c r="B70" s="975"/>
      <c r="C70" s="94"/>
      <c r="D70" s="53" t="s">
        <v>695</v>
      </c>
      <c r="E70" s="5"/>
      <c r="F70" s="5"/>
      <c r="G70" s="5"/>
      <c r="H70" s="5"/>
      <c r="I70" s="5"/>
      <c r="J70" s="5"/>
      <c r="K70" s="5"/>
    </row>
    <row r="71" spans="2:11" x14ac:dyDescent="0.25">
      <c r="B71" s="975"/>
      <c r="C71" s="94"/>
      <c r="D71" s="46" t="s">
        <v>697</v>
      </c>
      <c r="E71" s="5"/>
      <c r="F71" s="5"/>
      <c r="G71" s="5"/>
      <c r="H71" s="5"/>
      <c r="I71" s="5"/>
      <c r="J71" s="5"/>
      <c r="K71" s="5"/>
    </row>
    <row r="72" spans="2:11" x14ac:dyDescent="0.25">
      <c r="B72" s="975"/>
      <c r="C72" s="94"/>
      <c r="D72" s="53" t="s">
        <v>923</v>
      </c>
      <c r="E72" s="5"/>
      <c r="F72" s="5"/>
      <c r="G72" s="5"/>
      <c r="H72" s="5"/>
      <c r="I72" s="5"/>
      <c r="J72" s="5"/>
      <c r="K72" s="5"/>
    </row>
    <row r="73" spans="2:11" ht="36" x14ac:dyDescent="0.25">
      <c r="B73" s="975"/>
      <c r="C73" s="94"/>
      <c r="D73" s="46" t="s">
        <v>1138</v>
      </c>
      <c r="E73" s="5"/>
      <c r="F73" s="5"/>
      <c r="G73" s="5"/>
      <c r="H73" s="5"/>
      <c r="I73" s="5"/>
      <c r="J73" s="5"/>
      <c r="K73" s="5"/>
    </row>
    <row r="74" spans="2:11" x14ac:dyDescent="0.25">
      <c r="B74" s="975"/>
      <c r="C74" s="94"/>
      <c r="D74" s="46" t="s">
        <v>1235</v>
      </c>
      <c r="E74" s="5"/>
      <c r="F74" s="5"/>
      <c r="G74" s="5"/>
      <c r="H74" s="5"/>
      <c r="I74" s="5"/>
      <c r="J74" s="5"/>
      <c r="K74" s="5"/>
    </row>
    <row r="75" spans="2:11" ht="15.75" thickBot="1" x14ac:dyDescent="0.3">
      <c r="B75" s="976"/>
      <c r="C75" s="2"/>
      <c r="D75" s="68"/>
      <c r="E75" s="5"/>
      <c r="F75" s="5"/>
      <c r="G75" s="5"/>
      <c r="H75" s="5"/>
      <c r="I75" s="5"/>
      <c r="J75" s="5"/>
      <c r="K75" s="5"/>
    </row>
    <row r="76" spans="2:11" ht="24.75" thickBot="1" x14ac:dyDescent="0.3">
      <c r="B76" s="47" t="s">
        <v>704</v>
      </c>
      <c r="C76" s="2"/>
      <c r="D76" s="40"/>
      <c r="E76" s="5"/>
      <c r="F76" s="5"/>
      <c r="G76" s="5"/>
      <c r="H76" s="5"/>
      <c r="I76" s="5"/>
      <c r="J76" s="5"/>
      <c r="K76" s="5"/>
    </row>
    <row r="77" spans="2:11" ht="72" x14ac:dyDescent="0.25">
      <c r="B77" s="974" t="s">
        <v>705</v>
      </c>
      <c r="C77" s="94"/>
      <c r="D77" s="46" t="s">
        <v>1236</v>
      </c>
      <c r="E77" s="5"/>
      <c r="F77" s="5"/>
      <c r="G77" s="5"/>
      <c r="H77" s="5"/>
      <c r="I77" s="5"/>
      <c r="J77" s="5"/>
      <c r="K77" s="5"/>
    </row>
    <row r="78" spans="2:11" ht="132" x14ac:dyDescent="0.25">
      <c r="B78" s="975"/>
      <c r="C78" s="94"/>
      <c r="D78" s="46" t="s">
        <v>1237</v>
      </c>
      <c r="E78" s="5"/>
      <c r="F78" s="5"/>
      <c r="G78" s="5"/>
      <c r="H78" s="5"/>
      <c r="I78" s="5"/>
      <c r="J78" s="5"/>
      <c r="K78" s="5"/>
    </row>
    <row r="79" spans="2:11" ht="108" x14ac:dyDescent="0.25">
      <c r="B79" s="975"/>
      <c r="C79" s="94"/>
      <c r="D79" s="46" t="s">
        <v>1238</v>
      </c>
      <c r="E79" s="5"/>
      <c r="F79" s="5"/>
      <c r="G79" s="5"/>
      <c r="H79" s="5"/>
      <c r="I79" s="5"/>
      <c r="J79" s="5"/>
      <c r="K79" s="5"/>
    </row>
    <row r="80" spans="2:11" ht="84" x14ac:dyDescent="0.25">
      <c r="B80" s="975"/>
      <c r="C80" s="94"/>
      <c r="D80" s="46" t="s">
        <v>1239</v>
      </c>
      <c r="E80" s="5"/>
      <c r="F80" s="5"/>
      <c r="G80" s="5"/>
      <c r="H80" s="5"/>
      <c r="I80" s="5"/>
      <c r="J80" s="5"/>
      <c r="K80" s="5"/>
    </row>
    <row r="81" spans="2:11" ht="108" x14ac:dyDescent="0.25">
      <c r="B81" s="975"/>
      <c r="C81" s="94"/>
      <c r="D81" s="46" t="s">
        <v>1240</v>
      </c>
      <c r="E81" s="5"/>
      <c r="F81" s="5"/>
      <c r="G81" s="5"/>
      <c r="H81" s="5"/>
      <c r="I81" s="5"/>
      <c r="J81" s="5"/>
      <c r="K81" s="5"/>
    </row>
    <row r="82" spans="2:11" ht="60" x14ac:dyDescent="0.25">
      <c r="B82" s="975"/>
      <c r="C82" s="94"/>
      <c r="D82" s="46" t="s">
        <v>1241</v>
      </c>
      <c r="E82" s="5"/>
      <c r="F82" s="5"/>
      <c r="G82" s="5"/>
      <c r="H82" s="5"/>
      <c r="I82" s="5"/>
      <c r="J82" s="5"/>
      <c r="K82" s="5"/>
    </row>
    <row r="83" spans="2:11" ht="84.75" thickBot="1" x14ac:dyDescent="0.3">
      <c r="B83" s="976"/>
      <c r="C83" s="2"/>
      <c r="D83" s="40" t="s">
        <v>1242</v>
      </c>
      <c r="E83" s="5"/>
      <c r="F83" s="5"/>
      <c r="G83" s="5"/>
      <c r="H83" s="5"/>
      <c r="I83" s="5"/>
      <c r="J83" s="5"/>
      <c r="K83" s="5"/>
    </row>
    <row r="84" spans="2:11" ht="24" x14ac:dyDescent="0.25">
      <c r="B84" s="974" t="s">
        <v>722</v>
      </c>
      <c r="C84" s="94"/>
      <c r="D84" s="53" t="s">
        <v>24</v>
      </c>
      <c r="E84" s="5"/>
      <c r="F84" s="5"/>
      <c r="G84" s="5"/>
      <c r="H84" s="5"/>
      <c r="I84" s="5"/>
      <c r="J84" s="5"/>
      <c r="K84" s="5"/>
    </row>
    <row r="85" spans="2:11" x14ac:dyDescent="0.25">
      <c r="B85" s="975"/>
      <c r="C85" s="94"/>
      <c r="D85" s="16"/>
      <c r="E85" s="5"/>
      <c r="F85" s="5"/>
      <c r="G85" s="5"/>
      <c r="H85" s="5"/>
      <c r="I85" s="5"/>
      <c r="J85" s="5"/>
      <c r="K85" s="5"/>
    </row>
    <row r="86" spans="2:11" x14ac:dyDescent="0.25">
      <c r="B86" s="975"/>
      <c r="C86" s="94"/>
      <c r="D86" s="46" t="s">
        <v>723</v>
      </c>
      <c r="E86" s="5"/>
      <c r="F86" s="5"/>
      <c r="G86" s="5"/>
      <c r="H86" s="5"/>
      <c r="I86" s="5"/>
      <c r="J86" s="5"/>
      <c r="K86" s="5"/>
    </row>
    <row r="87" spans="2:11" ht="49.5" x14ac:dyDescent="0.25">
      <c r="B87" s="975"/>
      <c r="C87" s="94"/>
      <c r="D87" s="46" t="s">
        <v>1243</v>
      </c>
      <c r="E87" s="5"/>
      <c r="F87" s="5"/>
      <c r="G87" s="5"/>
      <c r="H87" s="5"/>
      <c r="I87" s="5"/>
      <c r="J87" s="5"/>
      <c r="K87" s="5"/>
    </row>
    <row r="88" spans="2:11" ht="37.5" x14ac:dyDescent="0.25">
      <c r="B88" s="975"/>
      <c r="C88" s="94"/>
      <c r="D88" s="46" t="s">
        <v>1244</v>
      </c>
      <c r="E88" s="5"/>
      <c r="F88" s="5"/>
      <c r="G88" s="5"/>
      <c r="H88" s="5"/>
      <c r="I88" s="5"/>
      <c r="J88" s="5"/>
      <c r="K88" s="5"/>
    </row>
    <row r="89" spans="2:11" ht="37.5" x14ac:dyDescent="0.25">
      <c r="B89" s="975"/>
      <c r="C89" s="94"/>
      <c r="D89" s="46" t="s">
        <v>1245</v>
      </c>
      <c r="E89" s="5"/>
      <c r="F89" s="5"/>
      <c r="G89" s="5"/>
      <c r="H89" s="5"/>
      <c r="I89" s="5"/>
      <c r="J89" s="5"/>
      <c r="K89" s="5"/>
    </row>
    <row r="90" spans="2:11" ht="84" x14ac:dyDescent="0.25">
      <c r="B90" s="975"/>
      <c r="C90" s="94"/>
      <c r="D90" s="54" t="s">
        <v>892</v>
      </c>
      <c r="E90" s="5"/>
      <c r="F90" s="5"/>
      <c r="G90" s="5"/>
      <c r="H90" s="5"/>
      <c r="I90" s="5"/>
      <c r="J90" s="5"/>
      <c r="K90" s="5"/>
    </row>
    <row r="91" spans="2:11" x14ac:dyDescent="0.25">
      <c r="B91" s="975"/>
      <c r="C91" s="94"/>
      <c r="D91" s="53" t="s">
        <v>866</v>
      </c>
      <c r="E91" s="5"/>
      <c r="F91" s="5"/>
      <c r="G91" s="5"/>
      <c r="H91" s="5"/>
      <c r="I91" s="5"/>
      <c r="J91" s="5"/>
      <c r="K91" s="5"/>
    </row>
    <row r="92" spans="2:11" ht="36" x14ac:dyDescent="0.25">
      <c r="B92" s="975"/>
      <c r="C92" s="94"/>
      <c r="D92" s="53" t="s">
        <v>1246</v>
      </c>
      <c r="E92" s="5"/>
      <c r="F92" s="5"/>
      <c r="G92" s="5"/>
      <c r="H92" s="5"/>
      <c r="I92" s="5"/>
      <c r="J92" s="5"/>
      <c r="K92" s="5"/>
    </row>
    <row r="93" spans="2:11" x14ac:dyDescent="0.25">
      <c r="B93" s="975"/>
      <c r="C93" s="94"/>
      <c r="D93" s="53" t="s">
        <v>1247</v>
      </c>
      <c r="E93" s="5"/>
      <c r="F93" s="5"/>
      <c r="G93" s="5"/>
      <c r="H93" s="5"/>
      <c r="I93" s="5"/>
      <c r="J93" s="5"/>
      <c r="K93" s="5"/>
    </row>
    <row r="94" spans="2:11" x14ac:dyDescent="0.25">
      <c r="B94" s="975"/>
      <c r="C94" s="94"/>
      <c r="D94" s="16"/>
      <c r="E94" s="5"/>
      <c r="F94" s="5"/>
      <c r="G94" s="5"/>
      <c r="H94" s="5"/>
      <c r="I94" s="5"/>
      <c r="J94" s="5"/>
      <c r="K94" s="5"/>
    </row>
    <row r="95" spans="2:11" x14ac:dyDescent="0.25">
      <c r="B95" s="975"/>
      <c r="C95" s="94"/>
      <c r="D95" s="46" t="s">
        <v>723</v>
      </c>
      <c r="E95" s="5"/>
      <c r="F95" s="5"/>
      <c r="G95" s="5"/>
      <c r="H95" s="5"/>
      <c r="I95" s="5"/>
      <c r="J95" s="5"/>
      <c r="K95" s="5"/>
    </row>
    <row r="96" spans="2:11" ht="37.5" x14ac:dyDescent="0.25">
      <c r="B96" s="975"/>
      <c r="C96" s="94"/>
      <c r="D96" s="46" t="s">
        <v>1248</v>
      </c>
      <c r="E96" s="5"/>
      <c r="F96" s="5"/>
      <c r="G96" s="5"/>
      <c r="H96" s="5"/>
      <c r="I96" s="5"/>
      <c r="J96" s="5"/>
      <c r="K96" s="5"/>
    </row>
    <row r="97" spans="2:11" ht="62.25" thickBot="1" x14ac:dyDescent="0.3">
      <c r="B97" s="976"/>
      <c r="C97" s="2"/>
      <c r="D97" s="40" t="s">
        <v>1249</v>
      </c>
      <c r="E97" s="5"/>
      <c r="F97" s="5"/>
      <c r="G97" s="5"/>
      <c r="H97" s="5"/>
      <c r="I97" s="5"/>
      <c r="J97" s="5"/>
      <c r="K97" s="5"/>
    </row>
    <row r="98" spans="2:11" x14ac:dyDescent="0.25">
      <c r="B98" s="5"/>
      <c r="D98" s="5"/>
      <c r="E98" s="5"/>
      <c r="F98" s="5"/>
      <c r="G98" s="5"/>
      <c r="H98" s="5"/>
      <c r="I98" s="5"/>
      <c r="J98" s="5"/>
      <c r="K98" s="5"/>
    </row>
    <row r="99" spans="2:11" x14ac:dyDescent="0.25">
      <c r="B99" s="5"/>
      <c r="D99" s="5"/>
      <c r="E99" s="5"/>
      <c r="F99" s="5"/>
      <c r="G99" s="5"/>
      <c r="H99" s="5"/>
      <c r="I99" s="5"/>
      <c r="J99" s="5"/>
      <c r="K99" s="5"/>
    </row>
    <row r="100" spans="2:11" x14ac:dyDescent="0.25">
      <c r="B100" s="5"/>
      <c r="D100" s="5"/>
      <c r="E100" s="5"/>
      <c r="F100" s="5"/>
      <c r="G100" s="5"/>
      <c r="H100" s="5"/>
      <c r="I100" s="5"/>
      <c r="J100" s="5"/>
      <c r="K100" s="5"/>
    </row>
    <row r="101" spans="2:11" x14ac:dyDescent="0.25">
      <c r="B101" s="5"/>
      <c r="D101" s="5"/>
      <c r="E101" s="5"/>
      <c r="F101" s="5"/>
      <c r="G101" s="5"/>
      <c r="H101" s="5"/>
      <c r="I101" s="5"/>
      <c r="J101" s="5"/>
      <c r="K101" s="5"/>
    </row>
    <row r="102" spans="2:11" x14ac:dyDescent="0.25">
      <c r="B102" s="5"/>
      <c r="D102" s="5"/>
      <c r="E102" s="5"/>
      <c r="F102" s="5"/>
      <c r="G102" s="5"/>
      <c r="H102" s="5"/>
      <c r="I102" s="5"/>
      <c r="J102" s="5"/>
      <c r="K102" s="5"/>
    </row>
    <row r="103" spans="2:11" x14ac:dyDescent="0.25">
      <c r="B103" s="5"/>
      <c r="D103" s="5"/>
      <c r="E103" s="5"/>
      <c r="F103" s="5"/>
      <c r="G103" s="5"/>
      <c r="H103" s="5"/>
      <c r="I103" s="5"/>
      <c r="J103" s="5"/>
      <c r="K103" s="5"/>
    </row>
    <row r="104" spans="2:11" x14ac:dyDescent="0.25">
      <c r="B104" s="5"/>
      <c r="D104" s="5"/>
      <c r="E104" s="5"/>
      <c r="F104" s="5"/>
      <c r="G104" s="5"/>
      <c r="H104" s="5"/>
      <c r="I104" s="5"/>
      <c r="J104" s="5"/>
      <c r="K104" s="5"/>
    </row>
    <row r="105" spans="2:11" x14ac:dyDescent="0.25">
      <c r="B105" s="5"/>
      <c r="D105" s="5"/>
      <c r="E105" s="5"/>
      <c r="F105" s="5"/>
      <c r="G105" s="5"/>
      <c r="H105" s="5"/>
      <c r="I105" s="5"/>
      <c r="J105" s="5"/>
      <c r="K105" s="5"/>
    </row>
    <row r="106" spans="2:11" x14ac:dyDescent="0.25">
      <c r="B106" s="5"/>
      <c r="D106" s="5"/>
      <c r="E106" s="5"/>
      <c r="F106" s="5"/>
      <c r="G106" s="5"/>
      <c r="H106" s="5"/>
      <c r="I106" s="5"/>
      <c r="J106" s="5"/>
      <c r="K106" s="5"/>
    </row>
    <row r="107" spans="2:11" x14ac:dyDescent="0.25">
      <c r="B107" s="5"/>
      <c r="D107" s="5"/>
      <c r="E107" s="5"/>
      <c r="F107" s="5"/>
      <c r="G107" s="5"/>
      <c r="H107" s="5"/>
      <c r="I107" s="5"/>
      <c r="J107" s="5"/>
      <c r="K107" s="5"/>
    </row>
    <row r="108" spans="2:11" x14ac:dyDescent="0.25">
      <c r="B108" s="5"/>
      <c r="D108" s="5"/>
      <c r="E108" s="5"/>
      <c r="F108" s="5"/>
      <c r="G108" s="5"/>
      <c r="H108" s="5"/>
      <c r="I108" s="5"/>
      <c r="J108" s="5"/>
      <c r="K108" s="5"/>
    </row>
    <row r="109" spans="2:11" x14ac:dyDescent="0.25">
      <c r="B109" s="5"/>
      <c r="D109" s="5"/>
      <c r="E109" s="5"/>
      <c r="F109" s="5"/>
      <c r="G109" s="5"/>
      <c r="H109" s="5"/>
      <c r="I109" s="5"/>
      <c r="J109" s="5"/>
      <c r="K109" s="5"/>
    </row>
    <row r="110" spans="2:11" x14ac:dyDescent="0.25">
      <c r="B110" s="5"/>
      <c r="D110" s="5"/>
      <c r="E110" s="5"/>
      <c r="F110" s="5"/>
      <c r="G110" s="5"/>
      <c r="H110" s="5"/>
      <c r="I110" s="5"/>
      <c r="J110" s="5"/>
      <c r="K110" s="5"/>
    </row>
    <row r="111" spans="2:11" x14ac:dyDescent="0.25">
      <c r="B111" s="5"/>
      <c r="D111" s="5"/>
      <c r="E111" s="5"/>
      <c r="F111" s="5"/>
      <c r="G111" s="5"/>
      <c r="H111" s="5"/>
      <c r="I111" s="5"/>
      <c r="J111" s="5"/>
      <c r="K111" s="5"/>
    </row>
    <row r="112" spans="2:11" x14ac:dyDescent="0.25">
      <c r="B112" s="5"/>
      <c r="D112" s="5"/>
      <c r="E112" s="5"/>
      <c r="F112" s="5"/>
      <c r="G112" s="5"/>
      <c r="H112" s="5"/>
      <c r="I112" s="5"/>
      <c r="J112" s="5"/>
      <c r="K112" s="5"/>
    </row>
    <row r="113" spans="2:11" x14ac:dyDescent="0.25">
      <c r="B113" s="5"/>
      <c r="D113" s="5"/>
      <c r="E113" s="5"/>
      <c r="F113" s="5"/>
      <c r="G113" s="5"/>
      <c r="H113" s="5"/>
      <c r="I113" s="5"/>
      <c r="J113" s="5"/>
      <c r="K113" s="5"/>
    </row>
    <row r="114" spans="2:11" x14ac:dyDescent="0.25">
      <c r="B114" s="5"/>
      <c r="D114" s="5"/>
      <c r="E114" s="5"/>
      <c r="F114" s="5"/>
      <c r="G114" s="5"/>
      <c r="H114" s="5"/>
      <c r="I114" s="5"/>
      <c r="J114" s="5"/>
      <c r="K114" s="5"/>
    </row>
    <row r="115" spans="2:11" x14ac:dyDescent="0.25">
      <c r="B115" s="5"/>
      <c r="D115" s="5"/>
      <c r="E115" s="5"/>
      <c r="F115" s="5"/>
      <c r="G115" s="5"/>
      <c r="H115" s="5"/>
      <c r="I115" s="5"/>
      <c r="J115" s="5"/>
      <c r="K115" s="5"/>
    </row>
    <row r="116" spans="2:11" x14ac:dyDescent="0.25">
      <c r="B116" s="5"/>
      <c r="D116" s="5"/>
      <c r="E116" s="5"/>
      <c r="F116" s="5"/>
      <c r="G116" s="5"/>
      <c r="H116" s="5"/>
      <c r="I116" s="5"/>
      <c r="J116" s="5"/>
      <c r="K116" s="5"/>
    </row>
    <row r="117" spans="2:11" x14ac:dyDescent="0.25">
      <c r="B117" s="5"/>
      <c r="D117" s="5"/>
      <c r="E117" s="5"/>
      <c r="F117" s="5"/>
      <c r="G117" s="5"/>
      <c r="H117" s="5"/>
      <c r="I117" s="5"/>
      <c r="J117" s="5"/>
      <c r="K117" s="5"/>
    </row>
    <row r="118" spans="2:11" x14ac:dyDescent="0.25">
      <c r="B118" s="5"/>
      <c r="D118" s="5"/>
      <c r="E118" s="5"/>
      <c r="F118" s="5"/>
      <c r="G118" s="5"/>
      <c r="H118" s="5"/>
      <c r="I118" s="5"/>
      <c r="J118" s="5"/>
      <c r="K118" s="5"/>
    </row>
    <row r="119" spans="2:11" x14ac:dyDescent="0.25">
      <c r="B119" s="5"/>
      <c r="D119" s="5"/>
      <c r="E119" s="5"/>
      <c r="F119" s="5"/>
      <c r="G119" s="5"/>
      <c r="H119" s="5"/>
      <c r="I119" s="5"/>
      <c r="J119" s="5"/>
      <c r="K119" s="5"/>
    </row>
    <row r="120" spans="2:11" x14ac:dyDescent="0.25">
      <c r="B120" s="5"/>
      <c r="D120" s="5"/>
      <c r="E120" s="5"/>
      <c r="F120" s="5"/>
      <c r="G120" s="5"/>
      <c r="H120" s="5"/>
      <c r="I120" s="5"/>
      <c r="J120" s="5"/>
      <c r="K120" s="5"/>
    </row>
    <row r="121" spans="2:11" x14ac:dyDescent="0.25">
      <c r="B121" s="5"/>
      <c r="D121" s="5"/>
      <c r="E121" s="5"/>
      <c r="F121" s="5"/>
      <c r="G121" s="5"/>
      <c r="H121" s="5"/>
      <c r="I121" s="5"/>
      <c r="J121" s="5"/>
      <c r="K121" s="5"/>
    </row>
    <row r="122" spans="2:11" x14ac:dyDescent="0.25">
      <c r="B122" s="5"/>
      <c r="D122" s="5"/>
      <c r="E122" s="5"/>
      <c r="F122" s="5"/>
      <c r="G122" s="5"/>
      <c r="H122" s="5"/>
      <c r="I122" s="5"/>
      <c r="J122" s="5"/>
      <c r="K122" s="5"/>
    </row>
    <row r="123" spans="2:11" x14ac:dyDescent="0.25">
      <c r="B123" s="5"/>
      <c r="D123" s="5"/>
      <c r="E123" s="5"/>
      <c r="F123" s="5"/>
      <c r="G123" s="5"/>
      <c r="H123" s="5"/>
      <c r="I123" s="5"/>
      <c r="J123" s="5"/>
      <c r="K123" s="5"/>
    </row>
    <row r="124" spans="2:11" x14ac:dyDescent="0.25">
      <c r="B124" s="5"/>
      <c r="D124" s="5"/>
      <c r="E124" s="5"/>
      <c r="F124" s="5"/>
      <c r="G124" s="5"/>
      <c r="H124" s="5"/>
      <c r="I124" s="5"/>
      <c r="J124" s="5"/>
      <c r="K124" s="5"/>
    </row>
    <row r="125" spans="2:11" x14ac:dyDescent="0.25">
      <c r="B125" s="5"/>
      <c r="D125" s="5"/>
      <c r="E125" s="5"/>
      <c r="F125" s="5"/>
      <c r="G125" s="5"/>
      <c r="H125" s="5"/>
      <c r="I125" s="5"/>
      <c r="J125" s="5"/>
      <c r="K125" s="5"/>
    </row>
    <row r="126" spans="2:11" x14ac:dyDescent="0.25">
      <c r="B126" s="5"/>
      <c r="D126" s="5"/>
      <c r="E126" s="5"/>
      <c r="F126" s="5"/>
      <c r="G126" s="5"/>
      <c r="H126" s="5"/>
      <c r="I126" s="5"/>
      <c r="J126" s="5"/>
      <c r="K126" s="5"/>
    </row>
    <row r="127" spans="2:11" x14ac:dyDescent="0.25">
      <c r="B127" s="5"/>
      <c r="D127" s="5"/>
      <c r="E127" s="5"/>
      <c r="F127" s="5"/>
      <c r="G127" s="5"/>
      <c r="H127" s="5"/>
      <c r="I127" s="5"/>
      <c r="J127" s="5"/>
      <c r="K127" s="5"/>
    </row>
    <row r="128" spans="2:11" x14ac:dyDescent="0.25">
      <c r="B128" s="5"/>
      <c r="D128" s="5"/>
      <c r="E128" s="5"/>
      <c r="F128" s="5"/>
      <c r="G128" s="5"/>
      <c r="H128" s="5"/>
      <c r="I128" s="5"/>
      <c r="J128" s="5"/>
      <c r="K128" s="5"/>
    </row>
    <row r="129" spans="2:11" x14ac:dyDescent="0.25">
      <c r="B129" s="5"/>
      <c r="D129" s="5"/>
      <c r="E129" s="5"/>
      <c r="F129" s="5"/>
      <c r="G129" s="5"/>
      <c r="H129" s="5"/>
      <c r="I129" s="5"/>
      <c r="J129" s="5"/>
      <c r="K129" s="5"/>
    </row>
    <row r="130" spans="2:11" x14ac:dyDescent="0.25">
      <c r="B130" s="5"/>
      <c r="D130" s="5"/>
      <c r="E130" s="5"/>
      <c r="F130" s="5"/>
      <c r="G130" s="5"/>
      <c r="H130" s="5"/>
      <c r="I130" s="5"/>
      <c r="J130" s="5"/>
      <c r="K130" s="5"/>
    </row>
    <row r="131" spans="2:11" x14ac:dyDescent="0.25">
      <c r="B131" s="5"/>
      <c r="D131" s="5"/>
      <c r="E131" s="5"/>
      <c r="F131" s="5"/>
      <c r="G131" s="5"/>
      <c r="H131" s="5"/>
      <c r="I131" s="5"/>
      <c r="J131" s="5"/>
      <c r="K131" s="5"/>
    </row>
    <row r="132" spans="2:11" x14ac:dyDescent="0.25">
      <c r="B132" s="5"/>
      <c r="D132" s="5"/>
      <c r="E132" s="5"/>
      <c r="F132" s="5"/>
      <c r="G132" s="5"/>
      <c r="H132" s="5"/>
      <c r="I132" s="5"/>
      <c r="J132" s="5"/>
      <c r="K132" s="5"/>
    </row>
    <row r="133" spans="2:11" x14ac:dyDescent="0.25">
      <c r="B133" s="5"/>
      <c r="D133" s="5"/>
      <c r="E133" s="5"/>
      <c r="F133" s="5"/>
      <c r="G133" s="5"/>
      <c r="H133" s="5"/>
      <c r="I133" s="5"/>
      <c r="J133" s="5"/>
      <c r="K133" s="5"/>
    </row>
    <row r="134" spans="2:11" x14ac:dyDescent="0.25">
      <c r="B134" s="5"/>
      <c r="D134" s="5"/>
      <c r="E134" s="5"/>
      <c r="F134" s="5"/>
      <c r="G134" s="5"/>
      <c r="H134" s="5"/>
      <c r="I134" s="5"/>
      <c r="J134" s="5"/>
      <c r="K134" s="5"/>
    </row>
    <row r="135" spans="2:11" x14ac:dyDescent="0.25">
      <c r="B135" s="5"/>
      <c r="D135" s="5"/>
      <c r="E135" s="5"/>
      <c r="F135" s="5"/>
      <c r="G135" s="5"/>
      <c r="H135" s="5"/>
      <c r="I135" s="5"/>
      <c r="J135" s="5"/>
      <c r="K135" s="5"/>
    </row>
    <row r="136" spans="2:11" x14ac:dyDescent="0.25">
      <c r="B136" s="5"/>
      <c r="D136" s="5"/>
      <c r="E136" s="5"/>
      <c r="F136" s="5"/>
      <c r="G136" s="5"/>
      <c r="H136" s="5"/>
      <c r="I136" s="5"/>
      <c r="J136" s="5"/>
      <c r="K136" s="5"/>
    </row>
    <row r="137" spans="2:11" x14ac:dyDescent="0.25">
      <c r="B137" s="5"/>
      <c r="D137" s="5"/>
      <c r="E137" s="5"/>
      <c r="F137" s="5"/>
      <c r="G137" s="5"/>
      <c r="H137" s="5"/>
      <c r="I137" s="5"/>
      <c r="J137" s="5"/>
      <c r="K137" s="5"/>
    </row>
    <row r="138" spans="2:11" x14ac:dyDescent="0.25">
      <c r="B138" s="5"/>
      <c r="D138" s="5"/>
      <c r="E138" s="5"/>
      <c r="F138" s="5"/>
      <c r="G138" s="5"/>
      <c r="H138" s="5"/>
      <c r="I138" s="5"/>
      <c r="J138" s="5"/>
      <c r="K138" s="5"/>
    </row>
    <row r="139" spans="2:11" x14ac:dyDescent="0.25">
      <c r="B139" s="5"/>
      <c r="D139" s="5"/>
      <c r="E139" s="5"/>
      <c r="F139" s="5"/>
      <c r="G139" s="5"/>
      <c r="H139" s="5"/>
      <c r="I139" s="5"/>
      <c r="J139" s="5"/>
      <c r="K139" s="5"/>
    </row>
    <row r="140" spans="2:11" x14ac:dyDescent="0.25">
      <c r="B140" s="5"/>
      <c r="D140" s="5"/>
      <c r="E140" s="5"/>
      <c r="F140" s="5"/>
      <c r="G140" s="5"/>
      <c r="H140" s="5"/>
      <c r="I140" s="5"/>
      <c r="J140" s="5"/>
      <c r="K140" s="5"/>
    </row>
    <row r="141" spans="2:11" x14ac:dyDescent="0.25">
      <c r="B141" s="5"/>
      <c r="D141" s="5"/>
      <c r="E141" s="5"/>
      <c r="F141" s="5"/>
      <c r="G141" s="5"/>
      <c r="H141" s="5"/>
      <c r="I141" s="5"/>
      <c r="J141" s="5"/>
      <c r="K141" s="5"/>
    </row>
    <row r="142" spans="2:11" x14ac:dyDescent="0.25">
      <c r="B142" s="5"/>
      <c r="D142" s="5"/>
      <c r="E142" s="5"/>
      <c r="F142" s="5"/>
      <c r="G142" s="5"/>
      <c r="H142" s="5"/>
      <c r="I142" s="5"/>
      <c r="J142" s="5"/>
      <c r="K142" s="5"/>
    </row>
    <row r="143" spans="2:11" x14ac:dyDescent="0.25">
      <c r="B143" s="5"/>
      <c r="D143" s="5"/>
      <c r="E143" s="5"/>
      <c r="F143" s="5"/>
      <c r="G143" s="5"/>
      <c r="H143" s="5"/>
      <c r="I143" s="5"/>
      <c r="J143" s="5"/>
      <c r="K143" s="5"/>
    </row>
    <row r="144" spans="2:11" x14ac:dyDescent="0.25">
      <c r="B144" s="5"/>
      <c r="D144" s="5"/>
      <c r="E144" s="5"/>
      <c r="F144" s="5"/>
      <c r="G144" s="5"/>
      <c r="H144" s="5"/>
      <c r="I144" s="5"/>
      <c r="J144" s="5"/>
      <c r="K144" s="5"/>
    </row>
    <row r="145" spans="2:11" x14ac:dyDescent="0.25">
      <c r="B145" s="5"/>
      <c r="D145" s="5"/>
      <c r="E145" s="5"/>
      <c r="F145" s="5"/>
      <c r="G145" s="5"/>
      <c r="H145" s="5"/>
      <c r="I145" s="5"/>
      <c r="J145" s="5"/>
      <c r="K145" s="5"/>
    </row>
    <row r="146" spans="2:11" x14ac:dyDescent="0.25">
      <c r="B146" s="5"/>
      <c r="D146" s="5"/>
      <c r="E146" s="5"/>
      <c r="F146" s="5"/>
      <c r="G146" s="5"/>
      <c r="H146" s="5"/>
      <c r="I146" s="5"/>
      <c r="J146" s="5"/>
      <c r="K146" s="5"/>
    </row>
    <row r="147" spans="2:11" x14ac:dyDescent="0.25">
      <c r="B147" s="5"/>
      <c r="D147" s="5"/>
      <c r="E147" s="5"/>
      <c r="F147" s="5"/>
      <c r="G147" s="5"/>
      <c r="H147" s="5"/>
      <c r="I147" s="5"/>
      <c r="J147" s="5"/>
      <c r="K147" s="5"/>
    </row>
    <row r="148" spans="2:11" x14ac:dyDescent="0.25">
      <c r="B148" s="5"/>
      <c r="D148" s="5"/>
      <c r="E148" s="5"/>
      <c r="F148" s="5"/>
      <c r="G148" s="5"/>
      <c r="H148" s="5"/>
      <c r="I148" s="5"/>
      <c r="J148" s="5"/>
      <c r="K148" s="5"/>
    </row>
    <row r="149" spans="2:11" x14ac:dyDescent="0.25">
      <c r="B149" s="5"/>
      <c r="D149" s="5"/>
      <c r="E149" s="5"/>
      <c r="F149" s="5"/>
      <c r="G149" s="5"/>
      <c r="H149" s="5"/>
      <c r="I149" s="5"/>
      <c r="J149" s="5"/>
      <c r="K149" s="5"/>
    </row>
    <row r="150" spans="2:11" x14ac:dyDescent="0.25">
      <c r="B150" s="5"/>
      <c r="D150" s="5"/>
      <c r="E150" s="5"/>
      <c r="F150" s="5"/>
      <c r="G150" s="5"/>
      <c r="H150" s="5"/>
      <c r="I150" s="5"/>
      <c r="J150" s="5"/>
      <c r="K150" s="5"/>
    </row>
    <row r="151" spans="2:11" x14ac:dyDescent="0.25">
      <c r="B151" s="5"/>
      <c r="D151" s="5"/>
      <c r="E151" s="5"/>
      <c r="F151" s="5"/>
      <c r="G151" s="5"/>
      <c r="H151" s="5"/>
      <c r="I151" s="5"/>
      <c r="J151" s="5"/>
      <c r="K151" s="5"/>
    </row>
    <row r="152" spans="2:11" x14ac:dyDescent="0.25">
      <c r="B152" s="5"/>
      <c r="D152" s="5"/>
      <c r="E152" s="5"/>
      <c r="F152" s="5"/>
      <c r="G152" s="5"/>
      <c r="H152" s="5"/>
      <c r="I152" s="5"/>
      <c r="J152" s="5"/>
      <c r="K152" s="5"/>
    </row>
    <row r="153" spans="2:11" x14ac:dyDescent="0.25">
      <c r="B153" s="5"/>
      <c r="D153" s="5"/>
      <c r="E153" s="5"/>
      <c r="F153" s="5"/>
      <c r="G153" s="5"/>
      <c r="H153" s="5"/>
      <c r="I153" s="5"/>
      <c r="J153" s="5"/>
      <c r="K153" s="5"/>
    </row>
    <row r="154" spans="2:11" x14ac:dyDescent="0.25">
      <c r="B154" s="5"/>
      <c r="D154" s="5"/>
      <c r="E154" s="5"/>
      <c r="F154" s="5"/>
      <c r="G154" s="5"/>
      <c r="H154" s="5"/>
      <c r="I154" s="5"/>
      <c r="J154" s="5"/>
      <c r="K154" s="5"/>
    </row>
    <row r="155" spans="2:11" x14ac:dyDescent="0.25">
      <c r="B155" s="5"/>
      <c r="D155" s="5"/>
      <c r="E155" s="5"/>
      <c r="F155" s="5"/>
      <c r="G155" s="5"/>
      <c r="H155" s="5"/>
      <c r="I155" s="5"/>
      <c r="J155" s="5"/>
      <c r="K155" s="5"/>
    </row>
    <row r="156" spans="2:11" x14ac:dyDescent="0.25">
      <c r="B156" s="5"/>
      <c r="D156" s="5"/>
      <c r="E156" s="5"/>
      <c r="F156" s="5"/>
      <c r="G156" s="5"/>
      <c r="H156" s="5"/>
      <c r="I156" s="5"/>
      <c r="J156" s="5"/>
      <c r="K156" s="5"/>
    </row>
    <row r="157" spans="2:11" x14ac:dyDescent="0.25">
      <c r="B157" s="5"/>
      <c r="D157" s="5"/>
      <c r="E157" s="5"/>
      <c r="F157" s="5"/>
      <c r="G157" s="5"/>
      <c r="H157" s="5"/>
      <c r="I157" s="5"/>
      <c r="J157" s="5"/>
      <c r="K157" s="5"/>
    </row>
    <row r="158" spans="2:11" x14ac:dyDescent="0.25">
      <c r="B158" s="5"/>
      <c r="D158" s="5"/>
      <c r="E158" s="5"/>
      <c r="F158" s="5"/>
      <c r="G158" s="5"/>
      <c r="H158" s="5"/>
      <c r="I158" s="5"/>
      <c r="J158" s="5"/>
      <c r="K158" s="5"/>
    </row>
    <row r="159" spans="2:11" x14ac:dyDescent="0.25">
      <c r="B159" s="5"/>
      <c r="D159" s="5"/>
      <c r="E159" s="5"/>
      <c r="F159" s="5"/>
      <c r="G159" s="5"/>
      <c r="H159" s="5"/>
      <c r="I159" s="5"/>
      <c r="J159" s="5"/>
      <c r="K159" s="5"/>
    </row>
    <row r="160" spans="2:11" x14ac:dyDescent="0.25">
      <c r="B160" s="5"/>
      <c r="D160" s="5"/>
      <c r="E160" s="5"/>
      <c r="F160" s="5"/>
      <c r="G160" s="5"/>
      <c r="H160" s="5"/>
      <c r="I160" s="5"/>
      <c r="J160" s="5"/>
      <c r="K160" s="5"/>
    </row>
    <row r="161" spans="2:11" x14ac:dyDescent="0.25">
      <c r="B161" s="5"/>
      <c r="D161" s="5"/>
      <c r="E161" s="5"/>
      <c r="F161" s="5"/>
      <c r="G161" s="5"/>
      <c r="H161" s="5"/>
      <c r="I161" s="5"/>
      <c r="J161" s="5"/>
      <c r="K161" s="5"/>
    </row>
    <row r="162" spans="2:11" x14ac:dyDescent="0.25">
      <c r="B162" s="5"/>
      <c r="D162" s="5"/>
      <c r="E162" s="5"/>
      <c r="F162" s="5"/>
      <c r="G162" s="5"/>
      <c r="H162" s="5"/>
      <c r="I162" s="5"/>
      <c r="J162" s="5"/>
      <c r="K162" s="5"/>
    </row>
    <row r="163" spans="2:11" x14ac:dyDescent="0.25">
      <c r="B163" s="5"/>
      <c r="D163" s="5"/>
      <c r="E163" s="5"/>
      <c r="F163" s="5"/>
      <c r="G163" s="5"/>
      <c r="H163" s="5"/>
      <c r="I163" s="5"/>
      <c r="J163" s="5"/>
      <c r="K163" s="5"/>
    </row>
    <row r="164" spans="2:11" x14ac:dyDescent="0.25">
      <c r="B164" s="5"/>
      <c r="D164" s="5"/>
      <c r="E164" s="5"/>
      <c r="F164" s="5"/>
      <c r="G164" s="5"/>
      <c r="H164" s="5"/>
      <c r="I164" s="5"/>
      <c r="J164" s="5"/>
      <c r="K164" s="5"/>
    </row>
    <row r="165" spans="2:11" x14ac:dyDescent="0.25">
      <c r="B165" s="5"/>
      <c r="D165" s="5"/>
      <c r="E165" s="5"/>
      <c r="F165" s="5"/>
      <c r="G165" s="5"/>
      <c r="H165" s="5"/>
      <c r="I165" s="5"/>
      <c r="J165" s="5"/>
      <c r="K165" s="5"/>
    </row>
    <row r="166" spans="2:11" x14ac:dyDescent="0.25">
      <c r="B166" s="5"/>
      <c r="D166" s="5"/>
      <c r="E166" s="5"/>
      <c r="F166" s="5"/>
      <c r="G166" s="5"/>
      <c r="H166" s="5"/>
      <c r="I166" s="5"/>
      <c r="J166" s="5"/>
      <c r="K166" s="5"/>
    </row>
    <row r="167" spans="2:11" x14ac:dyDescent="0.25">
      <c r="B167" s="5"/>
      <c r="D167" s="5"/>
      <c r="E167" s="5"/>
      <c r="F167" s="5"/>
      <c r="G167" s="5"/>
      <c r="H167" s="5"/>
      <c r="I167" s="5"/>
      <c r="J167" s="5"/>
      <c r="K167" s="5"/>
    </row>
    <row r="168" spans="2:11" x14ac:dyDescent="0.25">
      <c r="B168" s="5"/>
      <c r="D168" s="5"/>
      <c r="E168" s="5"/>
      <c r="F168" s="5"/>
      <c r="G168" s="5"/>
      <c r="H168" s="5"/>
      <c r="I168" s="5"/>
      <c r="J168" s="5"/>
      <c r="K168" s="5"/>
    </row>
    <row r="169" spans="2:11" x14ac:dyDescent="0.25">
      <c r="B169" s="5"/>
      <c r="D169" s="5"/>
      <c r="E169" s="5"/>
      <c r="F169" s="5"/>
      <c r="G169" s="5"/>
      <c r="H169" s="5"/>
      <c r="I169" s="5"/>
      <c r="J169" s="5"/>
      <c r="K169" s="5"/>
    </row>
    <row r="170" spans="2:11" x14ac:dyDescent="0.25">
      <c r="B170" s="5"/>
      <c r="D170" s="5"/>
      <c r="E170" s="5"/>
      <c r="F170" s="5"/>
      <c r="G170" s="5"/>
      <c r="H170" s="5"/>
      <c r="I170" s="5"/>
      <c r="J170" s="5"/>
      <c r="K170" s="5"/>
    </row>
    <row r="171" spans="2:11" x14ac:dyDescent="0.25">
      <c r="B171" s="5"/>
      <c r="D171" s="5"/>
      <c r="E171" s="5"/>
      <c r="F171" s="5"/>
      <c r="G171" s="5"/>
      <c r="H171" s="5"/>
      <c r="I171" s="5"/>
      <c r="J171" s="5"/>
      <c r="K171" s="5"/>
    </row>
    <row r="172" spans="2:11" x14ac:dyDescent="0.25">
      <c r="B172" s="5"/>
      <c r="D172" s="5"/>
      <c r="E172" s="5"/>
      <c r="F172" s="5"/>
      <c r="G172" s="5"/>
      <c r="H172" s="5"/>
      <c r="I172" s="5"/>
      <c r="J172" s="5"/>
      <c r="K172" s="5"/>
    </row>
    <row r="173" spans="2:11" x14ac:dyDescent="0.25">
      <c r="B173" s="5"/>
      <c r="D173" s="5"/>
      <c r="E173" s="5"/>
      <c r="F173" s="5"/>
      <c r="G173" s="5"/>
      <c r="H173" s="5"/>
      <c r="I173" s="5"/>
      <c r="J173" s="5"/>
      <c r="K173" s="5"/>
    </row>
    <row r="174" spans="2:11" x14ac:dyDescent="0.25">
      <c r="B174" s="5"/>
      <c r="D174" s="5"/>
      <c r="E174" s="5"/>
      <c r="F174" s="5"/>
      <c r="G174" s="5"/>
      <c r="H174" s="5"/>
      <c r="I174" s="5"/>
      <c r="J174" s="5"/>
      <c r="K174" s="5"/>
    </row>
    <row r="175" spans="2:11" x14ac:dyDescent="0.25">
      <c r="B175" s="5"/>
      <c r="D175" s="5"/>
      <c r="E175" s="5"/>
      <c r="F175" s="5"/>
      <c r="G175" s="5"/>
      <c r="H175" s="5"/>
      <c r="I175" s="5"/>
      <c r="J175" s="5"/>
      <c r="K175" s="5"/>
    </row>
    <row r="176" spans="2:11" x14ac:dyDescent="0.25">
      <c r="B176" s="5"/>
      <c r="D176" s="5"/>
      <c r="E176" s="5"/>
      <c r="F176" s="5"/>
      <c r="G176" s="5"/>
      <c r="H176" s="5"/>
      <c r="I176" s="5"/>
      <c r="J176" s="5"/>
      <c r="K176" s="5"/>
    </row>
    <row r="177" spans="2:11" x14ac:dyDescent="0.25">
      <c r="B177" s="5"/>
      <c r="D177" s="5"/>
      <c r="E177" s="5"/>
      <c r="F177" s="5"/>
      <c r="G177" s="5"/>
      <c r="H177" s="5"/>
      <c r="I177" s="5"/>
      <c r="J177" s="5"/>
      <c r="K177" s="5"/>
    </row>
    <row r="178" spans="2:11" x14ac:dyDescent="0.25">
      <c r="B178" s="5"/>
      <c r="D178" s="5"/>
      <c r="E178" s="5"/>
      <c r="F178" s="5"/>
      <c r="G178" s="5"/>
      <c r="H178" s="5"/>
      <c r="I178" s="5"/>
      <c r="J178" s="5"/>
      <c r="K178" s="5"/>
    </row>
    <row r="179" spans="2:11" x14ac:dyDescent="0.25">
      <c r="B179" s="5"/>
      <c r="D179" s="5"/>
      <c r="E179" s="5"/>
      <c r="F179" s="5"/>
      <c r="G179" s="5"/>
      <c r="H179" s="5"/>
      <c r="I179" s="5"/>
      <c r="J179" s="5"/>
      <c r="K179" s="5"/>
    </row>
  </sheetData>
  <sheetProtection insertRows="0"/>
  <mergeCells count="25">
    <mergeCell ref="A1:P1"/>
    <mergeCell ref="A2:P2"/>
    <mergeCell ref="A3:P3"/>
    <mergeCell ref="A4:D4"/>
    <mergeCell ref="A5:P5"/>
    <mergeCell ref="B67:B75"/>
    <mergeCell ref="B77:B83"/>
    <mergeCell ref="B84:B97"/>
    <mergeCell ref="D15:K15"/>
    <mergeCell ref="D23:K23"/>
    <mergeCell ref="D24:K24"/>
    <mergeCell ref="D25:K25"/>
    <mergeCell ref="D34:K34"/>
    <mergeCell ref="D35:K35"/>
    <mergeCell ref="B37:E37"/>
    <mergeCell ref="B60:E61"/>
    <mergeCell ref="B38:B44"/>
    <mergeCell ref="B46:E46"/>
    <mergeCell ref="B47:B53"/>
    <mergeCell ref="B15:B25"/>
    <mergeCell ref="B10:D10"/>
    <mergeCell ref="F10:S10"/>
    <mergeCell ref="F11:S11"/>
    <mergeCell ref="E12:R12"/>
    <mergeCell ref="E13:R13"/>
  </mergeCells>
  <conditionalFormatting sqref="E12:R12">
    <cfRule type="expression" dxfId="65" priority="1">
      <formula>E11="SI SE REPORTA"</formula>
    </cfRule>
  </conditionalFormatting>
  <conditionalFormatting sqref="F10">
    <cfRule type="notContainsBlanks" dxfId="64" priority="4">
      <formula>LEN(TRIM(F10))&gt;0</formula>
    </cfRule>
  </conditionalFormatting>
  <conditionalFormatting sqref="F11:S11">
    <cfRule type="expression" dxfId="63" priority="2">
      <formula>E11="NO SE REPORTA"</formula>
    </cfRule>
    <cfRule type="expression" dxfId="62" priority="3">
      <formula>E10="NO APLICA"</formula>
    </cfRule>
  </conditionalFormatting>
  <dataValidations count="4">
    <dataValidation type="list" allowBlank="1" showInputMessage="1" showErrorMessage="1" sqref="E10" xr:uid="{00000000-0002-0000-1700-000003000000}">
      <formula1>SI</formula1>
    </dataValidation>
    <dataValidation type="list" allowBlank="1" showInputMessage="1" showErrorMessage="1" sqref="E11" xr:uid="{00000000-0002-0000-1700-000002000000}">
      <formula1>REPORTE</formula1>
    </dataValidation>
    <dataValidation type="whole" operator="greaterThanOrEqual" allowBlank="1" showInputMessage="1" showErrorMessage="1" errorTitle="ERROR" error="Valor en HECTAREAS (sin decimales)" sqref="F27:F32 E17:H20" xr:uid="{00000000-0002-0000-1700-000001000000}">
      <formula1>0</formula1>
    </dataValidation>
    <dataValidation type="whole" operator="greaterThanOrEqual" allowBlank="1" showInputMessage="1" showErrorMessage="1" errorTitle="ERROR" error="Valor en PESOS (sin centavos)" sqref="G27:J32" xr:uid="{00000000-0002-0000-1700-000000000000}">
      <formula1>0</formula1>
    </dataValidation>
  </dataValidations>
  <hyperlinks>
    <hyperlink ref="B9" location="'ANEXO 3'!A1" display="VOLVER AL INDICE" xr:uid="{AE600169-ADD3-465B-BD8B-1EE732BA5ED9}"/>
    <hyperlink ref="E42" r:id="rId1" xr:uid="{DB372C18-1F2E-4CBF-BFEF-6307DC56911F}"/>
  </hyperlinks>
  <pageMargins left="0.25" right="0.25" top="0.75" bottom="0.75" header="0.3" footer="0.3"/>
  <pageSetup paperSize="178" orientation="landscape" horizontalDpi="1200" verticalDpi="120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0CCDD-13A3-4638-A21B-E00539DC431E}">
  <dimension ref="A1:U178"/>
  <sheetViews>
    <sheetView showGridLines="0" topLeftCell="A10" zoomScale="98" zoomScaleNormal="98" workbookViewId="0">
      <selection activeCell="D18" sqref="D18:I18"/>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5" customWidth="1"/>
    <col min="10" max="10" width="33.140625" customWidth="1"/>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25</v>
      </c>
      <c r="B5" s="998"/>
      <c r="C5" s="998"/>
      <c r="D5" s="998"/>
      <c r="E5" s="998"/>
      <c r="F5" s="998"/>
      <c r="G5" s="998"/>
      <c r="H5" s="998"/>
      <c r="I5" s="998"/>
      <c r="J5" s="998"/>
      <c r="K5" s="998"/>
      <c r="L5" s="998"/>
      <c r="M5" s="998"/>
      <c r="N5" s="998"/>
      <c r="O5" s="998"/>
      <c r="P5" s="999"/>
    </row>
    <row r="6" spans="1:21" x14ac:dyDescent="0.25">
      <c r="B6" s="1" t="s">
        <v>626</v>
      </c>
      <c r="C6" s="76"/>
      <c r="D6" s="5"/>
      <c r="E6" s="74"/>
      <c r="F6" s="5" t="s">
        <v>627</v>
      </c>
      <c r="G6" s="5"/>
      <c r="H6" s="5"/>
      <c r="I6" s="5"/>
      <c r="J6" s="5"/>
      <c r="K6" s="5"/>
    </row>
    <row r="7" spans="1:21" ht="15.75" thickBot="1" x14ac:dyDescent="0.3">
      <c r="B7" s="75"/>
      <c r="C7" s="77"/>
      <c r="D7" s="5"/>
      <c r="E7" s="17"/>
      <c r="F7" s="5" t="s">
        <v>628</v>
      </c>
      <c r="G7" s="5"/>
      <c r="H7" s="5"/>
      <c r="I7" s="5"/>
      <c r="J7" s="5"/>
      <c r="K7" s="5"/>
    </row>
    <row r="8" spans="1:21" ht="15.75" thickBot="1" x14ac:dyDescent="0.3">
      <c r="B8" s="170" t="s">
        <v>629</v>
      </c>
      <c r="C8" s="211">
        <v>2024</v>
      </c>
      <c r="D8" s="216" t="str">
        <f>IF(E10="NO APLICA","NO APLICA",IF(E11="NO SE REPORTA","SIN INFORMACION",+I30))</f>
        <v>NO APLICA</v>
      </c>
      <c r="E8" s="212"/>
      <c r="F8" s="5" t="s">
        <v>630</v>
      </c>
      <c r="G8" s="5"/>
      <c r="H8" s="5"/>
      <c r="I8" s="5"/>
      <c r="J8" s="5"/>
      <c r="K8" s="5"/>
    </row>
    <row r="9" spans="1:21" x14ac:dyDescent="0.25">
      <c r="B9" s="358" t="s">
        <v>631</v>
      </c>
      <c r="D9" s="5"/>
      <c r="E9" s="5"/>
      <c r="F9" s="5"/>
      <c r="G9" s="5"/>
      <c r="H9" s="5"/>
      <c r="I9" s="5"/>
      <c r="J9" s="5"/>
      <c r="K9" s="5"/>
    </row>
    <row r="10" spans="1:21" x14ac:dyDescent="0.25">
      <c r="B10" s="1008" t="s">
        <v>632</v>
      </c>
      <c r="C10" s="1008"/>
      <c r="D10" s="1008"/>
      <c r="E10" s="361" t="s">
        <v>1033</v>
      </c>
      <c r="F10" s="1108" t="s">
        <v>2320</v>
      </c>
      <c r="G10" s="1109"/>
      <c r="H10" s="1109"/>
      <c r="I10" s="1109"/>
      <c r="J10" s="1109"/>
      <c r="K10" s="1109"/>
      <c r="L10" s="1109"/>
      <c r="M10" s="1109"/>
      <c r="N10" s="1109"/>
      <c r="O10" s="1109"/>
      <c r="P10" s="1109"/>
      <c r="Q10" s="1109"/>
      <c r="R10" s="1109"/>
      <c r="S10" s="1109"/>
      <c r="T10" s="5"/>
      <c r="U10" s="5"/>
    </row>
    <row r="11" spans="1:21" ht="14.45" customHeight="1" x14ac:dyDescent="0.25">
      <c r="B11" s="360"/>
      <c r="C11" s="88"/>
      <c r="D11" s="171" t="str">
        <f>IF(E10="SI APLICA","¿El indicador no se reporta por limitaciones de información disponible? ","")</f>
        <v/>
      </c>
      <c r="E11" s="362" t="s">
        <v>1060</v>
      </c>
      <c r="F11" s="1009" t="s">
        <v>2320</v>
      </c>
      <c r="G11" s="1010"/>
      <c r="H11" s="1010"/>
      <c r="I11" s="1010"/>
      <c r="J11" s="1010"/>
      <c r="K11" s="1010"/>
      <c r="L11" s="1010"/>
      <c r="M11" s="1010"/>
      <c r="N11" s="1010"/>
      <c r="O11" s="1010"/>
      <c r="P11" s="1010"/>
      <c r="Q11" s="1010"/>
      <c r="R11" s="1010"/>
      <c r="S11" s="1010"/>
    </row>
    <row r="12" spans="1:21" ht="23.45" customHeight="1" x14ac:dyDescent="0.25">
      <c r="B12" s="358"/>
      <c r="C12" s="88"/>
      <c r="D12" s="171" t="str">
        <f>IF(E11="SI SE REPORTA","¿Qué programas o proyectos del Plan de Acción están asociados al indicador? ","")</f>
        <v/>
      </c>
      <c r="E12" s="1011"/>
      <c r="F12" s="1011"/>
      <c r="G12" s="1011"/>
      <c r="H12" s="1011"/>
      <c r="I12" s="1011"/>
      <c r="J12" s="1011"/>
      <c r="K12" s="1011"/>
      <c r="L12" s="1011"/>
      <c r="M12" s="1011"/>
      <c r="N12" s="1011"/>
      <c r="O12" s="1011"/>
      <c r="P12" s="1011"/>
      <c r="Q12" s="1011"/>
      <c r="R12" s="1011"/>
    </row>
    <row r="13" spans="1:21" ht="21.95" customHeight="1" x14ac:dyDescent="0.25">
      <c r="B13" s="358"/>
      <c r="C13" s="88"/>
      <c r="D13" s="171" t="s">
        <v>635</v>
      </c>
      <c r="E13" s="1012"/>
      <c r="F13" s="1013"/>
      <c r="G13" s="1013"/>
      <c r="H13" s="1013"/>
      <c r="I13" s="1013"/>
      <c r="J13" s="1013"/>
      <c r="K13" s="1013"/>
      <c r="L13" s="1013"/>
      <c r="M13" s="1013"/>
      <c r="N13" s="1013"/>
      <c r="O13" s="1013"/>
      <c r="P13" s="1013"/>
      <c r="Q13" s="1013"/>
      <c r="R13" s="1014"/>
    </row>
    <row r="14" spans="1:21" ht="6.95" customHeight="1" thickBot="1" x14ac:dyDescent="0.3">
      <c r="B14" s="358"/>
      <c r="D14" s="5"/>
      <c r="E14" s="5"/>
      <c r="F14" s="5"/>
      <c r="G14" s="5"/>
      <c r="H14" s="5"/>
      <c r="I14" s="5"/>
      <c r="J14" s="5"/>
      <c r="K14" s="5"/>
    </row>
    <row r="15" spans="1:21" ht="15" customHeight="1" thickTop="1" x14ac:dyDescent="0.25">
      <c r="B15" s="1044" t="s">
        <v>636</v>
      </c>
      <c r="C15" s="89"/>
      <c r="D15" s="956" t="s">
        <v>940</v>
      </c>
      <c r="E15" s="957"/>
      <c r="F15" s="957"/>
      <c r="G15" s="957"/>
      <c r="H15" s="957"/>
      <c r="I15" s="957"/>
      <c r="J15" s="957"/>
      <c r="K15" s="958"/>
    </row>
    <row r="16" spans="1:21" ht="15.75" thickBot="1" x14ac:dyDescent="0.3">
      <c r="B16" s="951"/>
      <c r="C16" s="92"/>
      <c r="D16" s="1116" t="s">
        <v>1250</v>
      </c>
      <c r="E16" s="1117"/>
      <c r="F16" s="1117"/>
      <c r="G16" s="1117"/>
      <c r="H16" s="1117"/>
      <c r="I16" s="1117"/>
      <c r="J16" s="1117"/>
      <c r="K16" s="1118"/>
    </row>
    <row r="17" spans="2:11" ht="15.75" thickBot="1" x14ac:dyDescent="0.3">
      <c r="B17" s="951"/>
      <c r="C17" s="90" t="s">
        <v>585</v>
      </c>
      <c r="D17" s="38" t="s">
        <v>849</v>
      </c>
      <c r="E17" s="38" t="s">
        <v>587</v>
      </c>
      <c r="F17" s="38" t="s">
        <v>588</v>
      </c>
      <c r="G17" s="38" t="s">
        <v>589</v>
      </c>
      <c r="H17" s="38" t="s">
        <v>590</v>
      </c>
      <c r="I17" s="38" t="s">
        <v>1251</v>
      </c>
      <c r="K17" s="21"/>
    </row>
    <row r="18" spans="2:11" ht="24.75" thickBot="1" x14ac:dyDescent="0.3">
      <c r="B18" s="951"/>
      <c r="C18" s="91" t="s">
        <v>765</v>
      </c>
      <c r="D18" s="40" t="s">
        <v>1252</v>
      </c>
      <c r="E18" s="6"/>
      <c r="F18" s="6"/>
      <c r="G18" s="6"/>
      <c r="H18" s="6"/>
      <c r="I18" s="42">
        <f>SUM(E18:H18)</f>
        <v>0</v>
      </c>
      <c r="K18" s="21"/>
    </row>
    <row r="19" spans="2:11" ht="15.75" thickBot="1" x14ac:dyDescent="0.3">
      <c r="B19" s="951"/>
      <c r="C19" s="92"/>
      <c r="D19" s="986" t="s">
        <v>1253</v>
      </c>
      <c r="E19" s="987"/>
      <c r="F19" s="987"/>
      <c r="G19" s="987"/>
      <c r="H19" s="987"/>
      <c r="I19" s="987"/>
      <c r="J19" s="987"/>
      <c r="K19" s="988"/>
    </row>
    <row r="20" spans="2:11" ht="15" customHeight="1" thickBot="1" x14ac:dyDescent="0.3">
      <c r="B20" s="218"/>
      <c r="C20" s="1045" t="s">
        <v>585</v>
      </c>
      <c r="D20" s="974" t="s">
        <v>868</v>
      </c>
      <c r="E20" s="974" t="s">
        <v>1254</v>
      </c>
      <c r="F20" s="983" t="s">
        <v>1255</v>
      </c>
      <c r="G20" s="984"/>
      <c r="H20" s="984"/>
      <c r="I20" s="984"/>
      <c r="J20" s="985"/>
      <c r="K20" s="114"/>
    </row>
    <row r="21" spans="2:11" ht="34.5" thickBot="1" x14ac:dyDescent="0.3">
      <c r="B21" s="218"/>
      <c r="C21" s="1046"/>
      <c r="D21" s="976"/>
      <c r="E21" s="976"/>
      <c r="F21" s="65" t="s">
        <v>1256</v>
      </c>
      <c r="G21" s="65" t="s">
        <v>1257</v>
      </c>
      <c r="H21" s="65" t="s">
        <v>1258</v>
      </c>
      <c r="I21" s="65" t="s">
        <v>1259</v>
      </c>
      <c r="J21" s="65" t="s">
        <v>593</v>
      </c>
      <c r="K21" s="115"/>
    </row>
    <row r="22" spans="2:11" ht="36.75" thickBot="1" x14ac:dyDescent="0.3">
      <c r="B22" s="218"/>
      <c r="C22" s="30"/>
      <c r="D22" s="30"/>
      <c r="E22" s="337" t="s">
        <v>1260</v>
      </c>
      <c r="F22" s="31"/>
      <c r="G22" s="31"/>
      <c r="H22" s="31"/>
      <c r="I22" s="140">
        <f t="shared" ref="I22:I29" si="0">+G22*H22</f>
        <v>0</v>
      </c>
      <c r="J22" s="338"/>
      <c r="K22" s="115"/>
    </row>
    <row r="23" spans="2:11" ht="36.75" thickBot="1" x14ac:dyDescent="0.3">
      <c r="B23" s="218"/>
      <c r="C23" s="270"/>
      <c r="D23" s="30"/>
      <c r="E23" s="337" t="s">
        <v>1261</v>
      </c>
      <c r="F23" s="31"/>
      <c r="G23" s="31"/>
      <c r="H23" s="31"/>
      <c r="I23" s="140">
        <f t="shared" si="0"/>
        <v>0</v>
      </c>
      <c r="J23" s="29"/>
      <c r="K23" s="115"/>
    </row>
    <row r="24" spans="2:11" ht="60.75" thickBot="1" x14ac:dyDescent="0.3">
      <c r="B24" s="218"/>
      <c r="C24" s="270"/>
      <c r="D24" s="30"/>
      <c r="E24" s="337" t="s">
        <v>1262</v>
      </c>
      <c r="F24" s="31"/>
      <c r="G24" s="31"/>
      <c r="H24" s="31"/>
      <c r="I24" s="140">
        <f t="shared" si="0"/>
        <v>0</v>
      </c>
      <c r="J24" s="29"/>
      <c r="K24" s="115"/>
    </row>
    <row r="25" spans="2:11" ht="36.75" thickBot="1" x14ac:dyDescent="0.3">
      <c r="B25" s="218"/>
      <c r="C25" s="270"/>
      <c r="D25" s="30"/>
      <c r="E25" s="337" t="s">
        <v>1263</v>
      </c>
      <c r="F25" s="31"/>
      <c r="G25" s="31"/>
      <c r="H25" s="31"/>
      <c r="I25" s="140">
        <f t="shared" si="0"/>
        <v>0</v>
      </c>
      <c r="J25" s="29"/>
      <c r="K25" s="115"/>
    </row>
    <row r="26" spans="2:11" ht="36.75" thickBot="1" x14ac:dyDescent="0.3">
      <c r="B26" s="218"/>
      <c r="C26" s="270"/>
      <c r="D26" s="30"/>
      <c r="E26" s="337" t="s">
        <v>1264</v>
      </c>
      <c r="F26" s="31"/>
      <c r="G26" s="31"/>
      <c r="H26" s="31"/>
      <c r="I26" s="140">
        <f t="shared" si="0"/>
        <v>0</v>
      </c>
      <c r="J26" s="29"/>
      <c r="K26" s="115"/>
    </row>
    <row r="27" spans="2:11" ht="15.75" thickBot="1" x14ac:dyDescent="0.3">
      <c r="B27" s="218"/>
      <c r="C27" s="270"/>
      <c r="D27" s="30"/>
      <c r="E27" s="30"/>
      <c r="F27" s="31"/>
      <c r="G27" s="31"/>
      <c r="H27" s="31"/>
      <c r="I27" s="140">
        <f t="shared" si="0"/>
        <v>0</v>
      </c>
      <c r="J27" s="29"/>
      <c r="K27" s="115"/>
    </row>
    <row r="28" spans="2:11" ht="15.75" thickBot="1" x14ac:dyDescent="0.3">
      <c r="B28" s="218"/>
      <c r="C28" s="270"/>
      <c r="D28" s="30"/>
      <c r="E28" s="30"/>
      <c r="F28" s="31"/>
      <c r="G28" s="31"/>
      <c r="H28" s="31"/>
      <c r="I28" s="140">
        <f t="shared" si="0"/>
        <v>0</v>
      </c>
      <c r="J28" s="29"/>
      <c r="K28" s="115"/>
    </row>
    <row r="29" spans="2:11" ht="15.75" thickBot="1" x14ac:dyDescent="0.3">
      <c r="B29" s="218"/>
      <c r="C29" s="270"/>
      <c r="D29" s="30"/>
      <c r="E29" s="30"/>
      <c r="F29" s="31"/>
      <c r="G29" s="31"/>
      <c r="H29" s="31"/>
      <c r="I29" s="140">
        <f t="shared" si="0"/>
        <v>0</v>
      </c>
      <c r="J29" s="29"/>
      <c r="K29" s="115"/>
    </row>
    <row r="30" spans="2:11" ht="15.75" thickBot="1" x14ac:dyDescent="0.3">
      <c r="B30" s="218"/>
      <c r="C30" s="91"/>
      <c r="D30" s="39" t="s">
        <v>764</v>
      </c>
      <c r="E30" s="39"/>
      <c r="F30" s="39"/>
      <c r="G30" s="39"/>
      <c r="H30" s="196" t="str">
        <f>[5]Formulas!D20</f>
        <v>ERROR: LA SUMA DE LA COLUMNA DEBE SER 100%</v>
      </c>
      <c r="I30" s="140">
        <f>[5]Formulas!E20</f>
        <v>0</v>
      </c>
      <c r="J30" s="40"/>
      <c r="K30" s="116"/>
    </row>
    <row r="31" spans="2:11" ht="15.75" thickBot="1" x14ac:dyDescent="0.3">
      <c r="B31" s="47"/>
      <c r="C31" s="93"/>
      <c r="D31" s="983" t="s">
        <v>1265</v>
      </c>
      <c r="E31" s="984"/>
      <c r="F31" s="984"/>
      <c r="G31" s="984"/>
      <c r="H31" s="984"/>
      <c r="I31" s="984"/>
      <c r="J31" s="984"/>
      <c r="K31" s="985"/>
    </row>
    <row r="32" spans="2:11" ht="24" customHeight="1" thickBot="1" x14ac:dyDescent="0.3">
      <c r="B32" s="47" t="s">
        <v>671</v>
      </c>
      <c r="C32" s="93"/>
      <c r="D32" s="983" t="s">
        <v>1266</v>
      </c>
      <c r="E32" s="984"/>
      <c r="F32" s="984"/>
      <c r="G32" s="984"/>
      <c r="H32" s="984"/>
      <c r="I32" s="984"/>
      <c r="J32" s="984"/>
      <c r="K32" s="985"/>
    </row>
    <row r="33" spans="2:11" ht="36" customHeight="1" thickBot="1" x14ac:dyDescent="0.3">
      <c r="B33" s="47" t="s">
        <v>673</v>
      </c>
      <c r="C33" s="93"/>
      <c r="D33" s="983" t="s">
        <v>1267</v>
      </c>
      <c r="E33" s="984"/>
      <c r="F33" s="984"/>
      <c r="G33" s="984"/>
      <c r="H33" s="984"/>
      <c r="I33" s="984"/>
      <c r="J33" s="984"/>
      <c r="K33" s="985"/>
    </row>
    <row r="34" spans="2:11" ht="15.75" thickBot="1" x14ac:dyDescent="0.3">
      <c r="B34" s="1"/>
      <c r="C34" s="76"/>
      <c r="D34" s="5"/>
      <c r="E34" s="5"/>
      <c r="F34" s="5"/>
      <c r="G34" s="5"/>
      <c r="H34" s="5"/>
      <c r="I34" s="5"/>
      <c r="J34" s="5"/>
      <c r="K34" s="5"/>
    </row>
    <row r="35" spans="2:11" ht="24" customHeight="1" thickBot="1" x14ac:dyDescent="0.3">
      <c r="B35" s="971" t="s">
        <v>675</v>
      </c>
      <c r="C35" s="972"/>
      <c r="D35" s="972"/>
      <c r="E35" s="973"/>
      <c r="F35" s="5"/>
      <c r="G35" s="5"/>
      <c r="H35" s="5"/>
      <c r="I35" s="5"/>
      <c r="J35" s="5"/>
      <c r="K35" s="5"/>
    </row>
    <row r="36" spans="2:11" ht="48.75" thickBot="1" x14ac:dyDescent="0.3">
      <c r="B36" s="974">
        <v>1</v>
      </c>
      <c r="C36" s="94"/>
      <c r="D36" s="48" t="s">
        <v>676</v>
      </c>
      <c r="E36" s="337" t="s">
        <v>2301</v>
      </c>
      <c r="F36" s="5"/>
      <c r="G36" s="5"/>
      <c r="H36" s="5"/>
      <c r="I36" s="5"/>
      <c r="J36" s="5"/>
      <c r="K36" s="5"/>
    </row>
    <row r="37" spans="2:11" ht="48.75" thickBot="1" x14ac:dyDescent="0.3">
      <c r="B37" s="975"/>
      <c r="C37" s="94"/>
      <c r="D37" s="40" t="s">
        <v>525</v>
      </c>
      <c r="E37" s="337" t="s">
        <v>2311</v>
      </c>
      <c r="F37" s="5"/>
      <c r="G37" s="5"/>
      <c r="H37" s="5"/>
      <c r="I37" s="5"/>
      <c r="J37" s="5"/>
      <c r="K37" s="5"/>
    </row>
    <row r="38" spans="2:11" ht="24.75" thickBot="1" x14ac:dyDescent="0.3">
      <c r="B38" s="975"/>
      <c r="C38" s="94"/>
      <c r="D38" s="40" t="s">
        <v>677</v>
      </c>
      <c r="E38" s="337" t="s">
        <v>2303</v>
      </c>
      <c r="F38" s="5"/>
      <c r="G38" s="5"/>
      <c r="H38" s="5"/>
      <c r="I38" s="5"/>
      <c r="J38" s="5"/>
      <c r="K38" s="5"/>
    </row>
    <row r="39" spans="2:11" ht="15.75" thickBot="1" x14ac:dyDescent="0.3">
      <c r="B39" s="975"/>
      <c r="C39" s="94"/>
      <c r="D39" s="40" t="s">
        <v>527</v>
      </c>
      <c r="E39" s="337" t="s">
        <v>2304</v>
      </c>
      <c r="F39" s="5"/>
      <c r="G39" s="5"/>
      <c r="H39" s="5"/>
      <c r="I39" s="5"/>
      <c r="J39" s="5"/>
      <c r="K39" s="5"/>
    </row>
    <row r="40" spans="2:11" ht="45.75" thickBot="1" x14ac:dyDescent="0.3">
      <c r="B40" s="975"/>
      <c r="C40" s="94"/>
      <c r="D40" s="40" t="s">
        <v>529</v>
      </c>
      <c r="E40" s="766" t="s">
        <v>2309</v>
      </c>
      <c r="F40" s="5"/>
      <c r="G40" s="5"/>
      <c r="H40" s="5"/>
      <c r="I40" s="5"/>
      <c r="J40" s="5"/>
      <c r="K40" s="5"/>
    </row>
    <row r="41" spans="2:11" ht="15.75" thickBot="1" x14ac:dyDescent="0.3">
      <c r="B41" s="975"/>
      <c r="C41" s="94"/>
      <c r="D41" s="40" t="s">
        <v>531</v>
      </c>
      <c r="E41" s="337">
        <v>5748960</v>
      </c>
      <c r="F41" s="5"/>
      <c r="G41" s="5"/>
      <c r="H41" s="5"/>
      <c r="I41" s="5"/>
      <c r="J41" s="5"/>
      <c r="K41" s="5"/>
    </row>
    <row r="42" spans="2:11" ht="48.75" thickBot="1" x14ac:dyDescent="0.3">
      <c r="B42" s="976"/>
      <c r="C42" s="2"/>
      <c r="D42" s="40" t="s">
        <v>678</v>
      </c>
      <c r="E42" s="337" t="s">
        <v>2312</v>
      </c>
      <c r="F42" s="5"/>
      <c r="G42" s="5"/>
      <c r="H42" s="5"/>
      <c r="I42" s="5"/>
      <c r="J42" s="5"/>
      <c r="K42" s="5"/>
    </row>
    <row r="43" spans="2:11" ht="15.75" thickBot="1" x14ac:dyDescent="0.3">
      <c r="B43" s="1"/>
      <c r="C43" s="76"/>
      <c r="D43" s="5"/>
      <c r="E43" s="5"/>
      <c r="F43" s="5"/>
      <c r="G43" s="5"/>
      <c r="H43" s="5"/>
      <c r="I43" s="5"/>
      <c r="J43" s="5"/>
      <c r="K43" s="5"/>
    </row>
    <row r="44" spans="2:11" ht="15.75" thickBot="1" x14ac:dyDescent="0.3">
      <c r="B44" s="971" t="s">
        <v>679</v>
      </c>
      <c r="C44" s="972"/>
      <c r="D44" s="972"/>
      <c r="E44" s="973"/>
      <c r="F44" s="5"/>
      <c r="G44" s="5"/>
      <c r="H44" s="5"/>
      <c r="I44" s="5"/>
      <c r="J44" s="5"/>
      <c r="K44" s="5"/>
    </row>
    <row r="45" spans="2:11" ht="15.75" thickBot="1" x14ac:dyDescent="0.3">
      <c r="B45" s="974">
        <v>1</v>
      </c>
      <c r="C45" s="94"/>
      <c r="D45" s="48" t="s">
        <v>676</v>
      </c>
      <c r="E45" s="219" t="s">
        <v>680</v>
      </c>
      <c r="F45" s="5"/>
      <c r="G45" s="5"/>
      <c r="H45" s="5"/>
      <c r="I45" s="5"/>
      <c r="J45" s="5"/>
      <c r="K45" s="5"/>
    </row>
    <row r="46" spans="2:11" ht="15.75" thickBot="1" x14ac:dyDescent="0.3">
      <c r="B46" s="975"/>
      <c r="C46" s="94"/>
      <c r="D46" s="40" t="s">
        <v>525</v>
      </c>
      <c r="E46" s="219" t="s">
        <v>681</v>
      </c>
      <c r="F46" s="5"/>
      <c r="G46" s="5"/>
      <c r="H46" s="5"/>
      <c r="I46" s="5"/>
      <c r="J46" s="5"/>
      <c r="K46" s="5"/>
    </row>
    <row r="47" spans="2:11" ht="15.75" thickBot="1" x14ac:dyDescent="0.3">
      <c r="B47" s="975"/>
      <c r="C47" s="94"/>
      <c r="D47" s="40" t="s">
        <v>677</v>
      </c>
      <c r="E47" s="239"/>
      <c r="F47" s="5"/>
      <c r="G47" s="5"/>
      <c r="H47" s="5"/>
      <c r="I47" s="5"/>
      <c r="J47" s="5"/>
      <c r="K47" s="5"/>
    </row>
    <row r="48" spans="2:11" ht="15.75" thickBot="1" x14ac:dyDescent="0.3">
      <c r="B48" s="975"/>
      <c r="C48" s="94"/>
      <c r="D48" s="40" t="s">
        <v>527</v>
      </c>
      <c r="E48" s="239"/>
      <c r="F48" s="5"/>
      <c r="G48" s="5"/>
      <c r="H48" s="5"/>
      <c r="I48" s="5"/>
      <c r="J48" s="5"/>
      <c r="K48" s="5"/>
    </row>
    <row r="49" spans="2:11" ht="15.75" thickBot="1" x14ac:dyDescent="0.3">
      <c r="B49" s="975"/>
      <c r="C49" s="94"/>
      <c r="D49" s="40" t="s">
        <v>529</v>
      </c>
      <c r="E49" s="239"/>
      <c r="F49" s="5"/>
      <c r="G49" s="5"/>
      <c r="H49" s="5"/>
      <c r="I49" s="5"/>
      <c r="J49" s="5"/>
      <c r="K49" s="5"/>
    </row>
    <row r="50" spans="2:11" ht="15.75" thickBot="1" x14ac:dyDescent="0.3">
      <c r="B50" s="975"/>
      <c r="C50" s="94"/>
      <c r="D50" s="40" t="s">
        <v>531</v>
      </c>
      <c r="E50" s="239"/>
      <c r="F50" s="5"/>
      <c r="G50" s="5"/>
      <c r="H50" s="5"/>
      <c r="I50" s="5"/>
      <c r="J50" s="5"/>
      <c r="K50" s="5"/>
    </row>
    <row r="51" spans="2:11" ht="15.75" thickBot="1" x14ac:dyDescent="0.3">
      <c r="B51" s="976"/>
      <c r="C51" s="2"/>
      <c r="D51" s="40" t="s">
        <v>678</v>
      </c>
      <c r="E51" s="239"/>
      <c r="F51" s="5"/>
      <c r="G51" s="5"/>
      <c r="H51" s="5"/>
      <c r="I51" s="5"/>
      <c r="J51" s="5"/>
      <c r="K51" s="5"/>
    </row>
    <row r="52" spans="2:11" ht="15.75" thickBot="1" x14ac:dyDescent="0.3">
      <c r="B52" s="1"/>
      <c r="C52" s="76"/>
      <c r="D52" s="5"/>
      <c r="E52" s="5"/>
      <c r="F52" s="5"/>
      <c r="G52" s="5"/>
      <c r="H52" s="5"/>
      <c r="I52" s="5"/>
      <c r="J52" s="5"/>
      <c r="K52" s="5"/>
    </row>
    <row r="53" spans="2:11" ht="15" customHeight="1" thickBot="1" x14ac:dyDescent="0.3">
      <c r="B53" s="122" t="s">
        <v>682</v>
      </c>
      <c r="C53" s="123"/>
      <c r="D53" s="123"/>
      <c r="E53" s="124"/>
      <c r="G53" s="5"/>
      <c r="H53" s="5"/>
      <c r="I53" s="5"/>
      <c r="J53" s="5"/>
      <c r="K53" s="5"/>
    </row>
    <row r="54" spans="2:11" ht="24.75" thickBot="1" x14ac:dyDescent="0.3">
      <c r="B54" s="47" t="s">
        <v>683</v>
      </c>
      <c r="C54" s="40" t="s">
        <v>684</v>
      </c>
      <c r="D54" s="40" t="s">
        <v>685</v>
      </c>
      <c r="E54" s="40" t="s">
        <v>686</v>
      </c>
      <c r="F54" s="5"/>
      <c r="G54" s="5"/>
      <c r="H54" s="5"/>
      <c r="I54" s="5"/>
      <c r="J54" s="5"/>
    </row>
    <row r="55" spans="2:11" ht="72.75" thickBot="1" x14ac:dyDescent="0.3">
      <c r="B55" s="49">
        <v>42401</v>
      </c>
      <c r="C55" s="40">
        <v>0.01</v>
      </c>
      <c r="D55" s="40" t="s">
        <v>1268</v>
      </c>
      <c r="E55" s="40"/>
      <c r="F55" s="5"/>
      <c r="G55" s="5"/>
      <c r="H55" s="5"/>
      <c r="I55" s="5"/>
      <c r="J55" s="5"/>
    </row>
    <row r="56" spans="2:11" ht="15.75" thickBot="1" x14ac:dyDescent="0.3">
      <c r="B56" s="1"/>
      <c r="C56" s="76"/>
      <c r="D56" s="5"/>
      <c r="E56" s="5"/>
      <c r="F56" s="5"/>
      <c r="G56" s="5"/>
      <c r="H56" s="5"/>
      <c r="I56" s="5"/>
      <c r="J56" s="5"/>
      <c r="K56" s="5"/>
    </row>
    <row r="57" spans="2:11" ht="15.75" thickBot="1" x14ac:dyDescent="0.3">
      <c r="B57" s="129" t="s">
        <v>593</v>
      </c>
      <c r="C57" s="96"/>
      <c r="D57" s="5"/>
      <c r="E57" s="5"/>
      <c r="F57" s="5"/>
      <c r="G57" s="5"/>
      <c r="H57" s="5"/>
      <c r="I57" s="5"/>
      <c r="J57" s="5"/>
      <c r="K57" s="5"/>
    </row>
    <row r="58" spans="2:11" x14ac:dyDescent="0.25">
      <c r="B58" s="1110"/>
      <c r="C58" s="1111"/>
      <c r="D58" s="1111"/>
      <c r="E58" s="1112"/>
      <c r="F58" s="5"/>
      <c r="G58" s="5"/>
      <c r="H58" s="5"/>
      <c r="I58" s="5"/>
      <c r="J58" s="5"/>
      <c r="K58" s="5"/>
    </row>
    <row r="59" spans="2:11" ht="15.75" thickBot="1" x14ac:dyDescent="0.3">
      <c r="B59" s="1113"/>
      <c r="C59" s="1114"/>
      <c r="D59" s="1114"/>
      <c r="E59" s="1115"/>
      <c r="F59" s="5"/>
      <c r="G59" s="5"/>
      <c r="H59" s="5"/>
      <c r="I59" s="5"/>
      <c r="J59" s="5"/>
      <c r="K59" s="5"/>
    </row>
    <row r="60" spans="2:11" ht="15.75" thickBot="1" x14ac:dyDescent="0.3">
      <c r="B60" s="5"/>
      <c r="D60" s="5"/>
      <c r="E60" s="5"/>
      <c r="F60" s="5"/>
      <c r="G60" s="5"/>
      <c r="H60" s="5"/>
      <c r="I60" s="5"/>
      <c r="J60" s="5"/>
      <c r="K60" s="5"/>
    </row>
    <row r="61" spans="2:11" ht="15.75" thickBot="1" x14ac:dyDescent="0.3">
      <c r="B61" s="971" t="s">
        <v>1135</v>
      </c>
      <c r="C61" s="972"/>
      <c r="D61" s="973"/>
      <c r="E61" s="5"/>
      <c r="F61" s="5"/>
      <c r="G61" s="5"/>
      <c r="H61" s="5"/>
      <c r="I61" s="5"/>
      <c r="J61" s="5"/>
      <c r="K61" s="5"/>
    </row>
    <row r="62" spans="2:11" ht="72.75" thickBot="1" x14ac:dyDescent="0.3">
      <c r="B62" s="47" t="s">
        <v>689</v>
      </c>
      <c r="C62" s="2"/>
      <c r="D62" s="40" t="s">
        <v>1269</v>
      </c>
      <c r="E62" s="5"/>
      <c r="F62" s="5"/>
      <c r="G62" s="5"/>
      <c r="H62" s="5"/>
      <c r="I62" s="5"/>
      <c r="J62" s="5"/>
      <c r="K62" s="5"/>
    </row>
    <row r="63" spans="2:11" x14ac:dyDescent="0.25">
      <c r="B63" s="974" t="s">
        <v>691</v>
      </c>
      <c r="C63" s="94"/>
      <c r="D63" s="53" t="s">
        <v>692</v>
      </c>
      <c r="E63" s="5"/>
      <c r="F63" s="5"/>
      <c r="G63" s="5"/>
      <c r="H63" s="5"/>
      <c r="I63" s="5"/>
      <c r="J63" s="5"/>
      <c r="K63" s="5"/>
    </row>
    <row r="64" spans="2:11" ht="132" x14ac:dyDescent="0.25">
      <c r="B64" s="975"/>
      <c r="C64" s="94"/>
      <c r="D64" s="46" t="s">
        <v>1270</v>
      </c>
      <c r="E64" s="5"/>
      <c r="F64" s="5"/>
      <c r="G64" s="5"/>
      <c r="H64" s="5"/>
      <c r="I64" s="5"/>
      <c r="J64" s="5"/>
      <c r="K64" s="5"/>
    </row>
    <row r="65" spans="2:11" x14ac:dyDescent="0.25">
      <c r="B65" s="975"/>
      <c r="C65" s="94"/>
      <c r="D65" s="53" t="s">
        <v>695</v>
      </c>
      <c r="E65" s="5"/>
      <c r="F65" s="5"/>
      <c r="G65" s="5"/>
      <c r="H65" s="5"/>
      <c r="I65" s="5"/>
      <c r="J65" s="5"/>
      <c r="K65" s="5"/>
    </row>
    <row r="66" spans="2:11" ht="24" x14ac:dyDescent="0.25">
      <c r="B66" s="975"/>
      <c r="C66" s="94"/>
      <c r="D66" s="46" t="s">
        <v>1271</v>
      </c>
      <c r="E66" s="5"/>
      <c r="F66" s="5"/>
      <c r="G66" s="5"/>
      <c r="H66" s="5"/>
      <c r="I66" s="5"/>
      <c r="J66" s="5"/>
      <c r="K66" s="5"/>
    </row>
    <row r="67" spans="2:11" ht="24" x14ac:dyDescent="0.25">
      <c r="B67" s="975"/>
      <c r="C67" s="94"/>
      <c r="D67" s="46" t="s">
        <v>1272</v>
      </c>
      <c r="E67" s="5"/>
      <c r="F67" s="5"/>
      <c r="G67" s="5"/>
      <c r="H67" s="5"/>
      <c r="I67" s="5"/>
      <c r="J67" s="5"/>
      <c r="K67" s="5"/>
    </row>
    <row r="68" spans="2:11" ht="24" x14ac:dyDescent="0.25">
      <c r="B68" s="975"/>
      <c r="C68" s="94"/>
      <c r="D68" s="46" t="s">
        <v>1273</v>
      </c>
      <c r="E68" s="5"/>
      <c r="F68" s="5"/>
      <c r="G68" s="5"/>
      <c r="H68" s="5"/>
      <c r="I68" s="5"/>
      <c r="J68" s="5"/>
      <c r="K68" s="5"/>
    </row>
    <row r="69" spans="2:11" x14ac:dyDescent="0.25">
      <c r="B69" s="975"/>
      <c r="C69" s="94"/>
      <c r="D69" s="46" t="s">
        <v>1274</v>
      </c>
      <c r="E69" s="5"/>
      <c r="F69" s="5"/>
      <c r="G69" s="5"/>
      <c r="H69" s="5"/>
      <c r="I69" s="5"/>
      <c r="J69" s="5"/>
      <c r="K69" s="5"/>
    </row>
    <row r="70" spans="2:11" x14ac:dyDescent="0.25">
      <c r="B70" s="975"/>
      <c r="C70" s="94"/>
      <c r="D70" s="46" t="s">
        <v>1275</v>
      </c>
      <c r="E70" s="5"/>
      <c r="F70" s="5"/>
      <c r="G70" s="5"/>
      <c r="H70" s="5"/>
      <c r="I70" s="5"/>
      <c r="J70" s="5"/>
      <c r="K70" s="5"/>
    </row>
    <row r="71" spans="2:11" x14ac:dyDescent="0.25">
      <c r="B71" s="975"/>
      <c r="C71" s="94"/>
      <c r="D71" s="46" t="s">
        <v>1276</v>
      </c>
      <c r="E71" s="5"/>
      <c r="F71" s="5"/>
      <c r="G71" s="5"/>
      <c r="H71" s="5"/>
      <c r="I71" s="5"/>
      <c r="J71" s="5"/>
      <c r="K71" s="5"/>
    </row>
    <row r="72" spans="2:11" x14ac:dyDescent="0.25">
      <c r="B72" s="975"/>
      <c r="C72" s="94"/>
      <c r="D72" s="53" t="s">
        <v>923</v>
      </c>
      <c r="E72" s="5"/>
      <c r="F72" s="5"/>
      <c r="G72" s="5"/>
      <c r="H72" s="5"/>
      <c r="I72" s="5"/>
      <c r="J72" s="5"/>
      <c r="K72" s="5"/>
    </row>
    <row r="73" spans="2:11" ht="48" x14ac:dyDescent="0.25">
      <c r="B73" s="975"/>
      <c r="C73" s="94"/>
      <c r="D73" s="46" t="s">
        <v>1277</v>
      </c>
      <c r="E73" s="5"/>
      <c r="F73" s="5"/>
      <c r="G73" s="5"/>
      <c r="H73" s="5"/>
      <c r="I73" s="5"/>
      <c r="J73" s="5"/>
      <c r="K73" s="5"/>
    </row>
    <row r="74" spans="2:11" ht="15.75" thickBot="1" x14ac:dyDescent="0.3">
      <c r="B74" s="976"/>
      <c r="C74" s="2"/>
      <c r="D74" s="68"/>
      <c r="E74" s="5"/>
      <c r="F74" s="5"/>
      <c r="G74" s="5"/>
      <c r="H74" s="5"/>
      <c r="I74" s="5"/>
      <c r="J74" s="5"/>
      <c r="K74" s="5"/>
    </row>
    <row r="75" spans="2:11" x14ac:dyDescent="0.25">
      <c r="B75" s="974" t="s">
        <v>704</v>
      </c>
      <c r="C75" s="99"/>
      <c r="D75" s="974"/>
      <c r="E75" s="5"/>
      <c r="F75" s="5"/>
      <c r="G75" s="5"/>
      <c r="H75" s="5"/>
      <c r="I75" s="5"/>
      <c r="J75" s="5"/>
      <c r="K75" s="5"/>
    </row>
    <row r="76" spans="2:11" ht="15.75" thickBot="1" x14ac:dyDescent="0.3">
      <c r="B76" s="976"/>
      <c r="C76" s="100"/>
      <c r="D76" s="976"/>
      <c r="E76" s="5"/>
      <c r="F76" s="5"/>
      <c r="G76" s="5"/>
      <c r="H76" s="5"/>
      <c r="I76" s="5"/>
      <c r="J76" s="5"/>
      <c r="K76" s="5"/>
    </row>
    <row r="77" spans="2:11" ht="15.75" thickBot="1" x14ac:dyDescent="0.3">
      <c r="B77" s="37"/>
      <c r="C77" s="88"/>
      <c r="D77" s="5"/>
      <c r="E77" s="5"/>
      <c r="F77" s="5"/>
      <c r="G77" s="5"/>
      <c r="H77" s="5"/>
      <c r="I77" s="5"/>
      <c r="J77" s="5"/>
      <c r="K77" s="5"/>
    </row>
    <row r="78" spans="2:11" ht="180" x14ac:dyDescent="0.25">
      <c r="B78" s="974" t="s">
        <v>705</v>
      </c>
      <c r="C78" s="105"/>
      <c r="D78" s="63" t="s">
        <v>1278</v>
      </c>
      <c r="E78" s="5"/>
      <c r="F78" s="5"/>
      <c r="G78" s="5"/>
      <c r="H78" s="5"/>
      <c r="I78" s="5"/>
      <c r="J78" s="5"/>
      <c r="K78" s="5"/>
    </row>
    <row r="79" spans="2:11" ht="204" x14ac:dyDescent="0.25">
      <c r="B79" s="975"/>
      <c r="C79" s="94"/>
      <c r="D79" s="46" t="s">
        <v>1279</v>
      </c>
      <c r="E79" s="5"/>
      <c r="F79" s="5"/>
      <c r="G79" s="5"/>
      <c r="H79" s="5"/>
      <c r="I79" s="5"/>
      <c r="J79" s="5"/>
      <c r="K79" s="5"/>
    </row>
    <row r="80" spans="2:11" ht="48" x14ac:dyDescent="0.25">
      <c r="B80" s="975"/>
      <c r="C80" s="94"/>
      <c r="D80" s="46" t="s">
        <v>1280</v>
      </c>
      <c r="E80" s="5"/>
      <c r="F80" s="5"/>
      <c r="G80" s="5"/>
      <c r="H80" s="5"/>
      <c r="I80" s="5"/>
      <c r="J80" s="5"/>
      <c r="K80" s="5"/>
    </row>
    <row r="81" spans="2:11" ht="24" x14ac:dyDescent="0.25">
      <c r="B81" s="975"/>
      <c r="C81" s="94"/>
      <c r="D81" s="46" t="s">
        <v>1281</v>
      </c>
      <c r="E81" s="5"/>
      <c r="F81" s="5"/>
      <c r="G81" s="5"/>
      <c r="H81" s="5"/>
      <c r="I81" s="5"/>
      <c r="J81" s="5"/>
      <c r="K81" s="5"/>
    </row>
    <row r="82" spans="2:11" ht="60" x14ac:dyDescent="0.25">
      <c r="B82" s="975"/>
      <c r="C82" s="94"/>
      <c r="D82" s="46" t="s">
        <v>1282</v>
      </c>
      <c r="E82" s="5"/>
      <c r="F82" s="5"/>
      <c r="G82" s="5"/>
      <c r="H82" s="5"/>
      <c r="I82" s="5"/>
      <c r="J82" s="5"/>
      <c r="K82" s="5"/>
    </row>
    <row r="83" spans="2:11" ht="24" x14ac:dyDescent="0.25">
      <c r="B83" s="975"/>
      <c r="C83" s="94"/>
      <c r="D83" s="46" t="s">
        <v>1283</v>
      </c>
      <c r="E83" s="5"/>
      <c r="F83" s="5"/>
      <c r="G83" s="5"/>
      <c r="H83" s="5"/>
      <c r="I83" s="5"/>
      <c r="J83" s="5"/>
      <c r="K83" s="5"/>
    </row>
    <row r="84" spans="2:11" ht="24" x14ac:dyDescent="0.25">
      <c r="B84" s="975"/>
      <c r="C84" s="94"/>
      <c r="D84" s="46" t="s">
        <v>1284</v>
      </c>
      <c r="E84" s="5"/>
      <c r="F84" s="5"/>
      <c r="G84" s="5"/>
      <c r="H84" s="5"/>
      <c r="I84" s="5"/>
      <c r="J84" s="5"/>
      <c r="K84" s="5"/>
    </row>
    <row r="85" spans="2:11" ht="36" x14ac:dyDescent="0.25">
      <c r="B85" s="975"/>
      <c r="C85" s="94"/>
      <c r="D85" s="46" t="s">
        <v>1285</v>
      </c>
      <c r="E85" s="5"/>
      <c r="F85" s="5"/>
      <c r="G85" s="5"/>
      <c r="H85" s="5"/>
      <c r="I85" s="5"/>
      <c r="J85" s="5"/>
      <c r="K85" s="5"/>
    </row>
    <row r="86" spans="2:11" ht="24" x14ac:dyDescent="0.25">
      <c r="B86" s="975"/>
      <c r="C86" s="94"/>
      <c r="D86" s="46" t="s">
        <v>1286</v>
      </c>
      <c r="E86" s="5"/>
      <c r="F86" s="5"/>
      <c r="G86" s="5"/>
      <c r="H86" s="5"/>
      <c r="I86" s="5"/>
      <c r="J86" s="5"/>
      <c r="K86" s="5"/>
    </row>
    <row r="87" spans="2:11" ht="24" x14ac:dyDescent="0.25">
      <c r="B87" s="975"/>
      <c r="C87" s="94"/>
      <c r="D87" s="46" t="s">
        <v>1287</v>
      </c>
      <c r="E87" s="5"/>
      <c r="F87" s="5"/>
      <c r="G87" s="5"/>
      <c r="H87" s="5"/>
      <c r="I87" s="5"/>
      <c r="J87" s="5"/>
      <c r="K87" s="5"/>
    </row>
    <row r="88" spans="2:11" ht="24" x14ac:dyDescent="0.25">
      <c r="B88" s="975"/>
      <c r="C88" s="94"/>
      <c r="D88" s="46" t="s">
        <v>1288</v>
      </c>
      <c r="E88" s="5"/>
      <c r="F88" s="5"/>
      <c r="G88" s="5"/>
      <c r="H88" s="5"/>
      <c r="I88" s="5"/>
      <c r="J88" s="5"/>
      <c r="K88" s="5"/>
    </row>
    <row r="89" spans="2:11" ht="36" x14ac:dyDescent="0.25">
      <c r="B89" s="975"/>
      <c r="C89" s="94"/>
      <c r="D89" s="46" t="s">
        <v>1289</v>
      </c>
      <c r="E89" s="5"/>
      <c r="F89" s="5"/>
      <c r="G89" s="5"/>
      <c r="H89" s="5"/>
      <c r="I89" s="5"/>
      <c r="J89" s="5"/>
      <c r="K89" s="5"/>
    </row>
    <row r="90" spans="2:11" ht="24" x14ac:dyDescent="0.25">
      <c r="B90" s="975"/>
      <c r="C90" s="94"/>
      <c r="D90" s="46" t="s">
        <v>1290</v>
      </c>
      <c r="E90" s="5"/>
      <c r="F90" s="5"/>
      <c r="G90" s="5"/>
      <c r="H90" s="5"/>
      <c r="I90" s="5"/>
      <c r="J90" s="5"/>
      <c r="K90" s="5"/>
    </row>
    <row r="91" spans="2:11" ht="60.75" thickBot="1" x14ac:dyDescent="0.3">
      <c r="B91" s="976"/>
      <c r="C91" s="2"/>
      <c r="D91" s="40" t="s">
        <v>1291</v>
      </c>
      <c r="E91" s="5"/>
      <c r="F91" s="5"/>
      <c r="G91" s="5"/>
      <c r="H91" s="5"/>
      <c r="I91" s="5"/>
      <c r="J91" s="5"/>
      <c r="K91" s="5"/>
    </row>
    <row r="92" spans="2:11" ht="36" x14ac:dyDescent="0.25">
      <c r="B92" s="974" t="s">
        <v>722</v>
      </c>
      <c r="C92" s="94"/>
      <c r="D92" s="53" t="s">
        <v>1292</v>
      </c>
      <c r="E92" s="5"/>
      <c r="F92" s="5"/>
      <c r="G92" s="5"/>
      <c r="H92" s="5"/>
      <c r="I92" s="5"/>
      <c r="J92" s="5"/>
      <c r="K92" s="5"/>
    </row>
    <row r="93" spans="2:11" ht="36" x14ac:dyDescent="0.25">
      <c r="B93" s="975"/>
      <c r="C93" s="94"/>
      <c r="D93" s="46" t="s">
        <v>1293</v>
      </c>
      <c r="E93" s="5"/>
      <c r="F93" s="5"/>
      <c r="G93" s="5"/>
      <c r="H93" s="5"/>
      <c r="I93" s="5"/>
      <c r="J93" s="5"/>
      <c r="K93" s="5"/>
    </row>
    <row r="94" spans="2:11" x14ac:dyDescent="0.25">
      <c r="B94" s="975"/>
      <c r="C94" s="94"/>
      <c r="D94" s="16"/>
      <c r="E94" s="5"/>
      <c r="F94" s="5"/>
      <c r="G94" s="5"/>
      <c r="H94" s="5"/>
      <c r="I94" s="5"/>
      <c r="J94" s="5"/>
      <c r="K94" s="5"/>
    </row>
    <row r="95" spans="2:11" x14ac:dyDescent="0.25">
      <c r="B95" s="975"/>
      <c r="C95" s="94"/>
      <c r="D95" s="46" t="s">
        <v>723</v>
      </c>
      <c r="E95" s="5"/>
      <c r="F95" s="5"/>
      <c r="G95" s="5"/>
      <c r="H95" s="5"/>
      <c r="I95" s="5"/>
      <c r="J95" s="5"/>
      <c r="K95" s="5"/>
    </row>
    <row r="96" spans="2:11" ht="37.5" x14ac:dyDescent="0.25">
      <c r="B96" s="975"/>
      <c r="C96" s="94"/>
      <c r="D96" s="46" t="s">
        <v>1294</v>
      </c>
      <c r="E96" s="5"/>
      <c r="F96" s="5"/>
      <c r="G96" s="5"/>
      <c r="H96" s="5"/>
      <c r="I96" s="5"/>
      <c r="J96" s="5"/>
      <c r="K96" s="5"/>
    </row>
    <row r="97" spans="2:11" ht="49.5" x14ac:dyDescent="0.25">
      <c r="B97" s="975"/>
      <c r="C97" s="94"/>
      <c r="D97" s="46" t="s">
        <v>1295</v>
      </c>
      <c r="E97" s="5"/>
      <c r="F97" s="5"/>
      <c r="G97" s="5"/>
      <c r="H97" s="5"/>
      <c r="I97" s="5"/>
      <c r="J97" s="5"/>
      <c r="K97" s="5"/>
    </row>
    <row r="98" spans="2:11" ht="25.5" x14ac:dyDescent="0.25">
      <c r="B98" s="975"/>
      <c r="C98" s="94"/>
      <c r="D98" s="46" t="s">
        <v>1296</v>
      </c>
      <c r="E98" s="5"/>
      <c r="F98" s="5"/>
      <c r="G98" s="5"/>
      <c r="H98" s="5"/>
      <c r="I98" s="5"/>
      <c r="J98" s="5"/>
      <c r="K98" s="5"/>
    </row>
    <row r="99" spans="2:11" x14ac:dyDescent="0.25">
      <c r="B99" s="975"/>
      <c r="C99" s="94"/>
      <c r="D99" s="46" t="s">
        <v>1297</v>
      </c>
      <c r="E99" s="5"/>
      <c r="F99" s="5"/>
      <c r="G99" s="5"/>
      <c r="H99" s="5"/>
      <c r="I99" s="5"/>
      <c r="J99" s="5"/>
      <c r="K99" s="5"/>
    </row>
    <row r="100" spans="2:11" ht="48.75" thickBot="1" x14ac:dyDescent="0.3">
      <c r="B100" s="976"/>
      <c r="C100" s="2"/>
      <c r="D100" s="71" t="s">
        <v>1298</v>
      </c>
      <c r="E100" s="5"/>
      <c r="F100" s="5"/>
      <c r="G100" s="5"/>
      <c r="H100" s="5"/>
      <c r="I100" s="5"/>
      <c r="J100" s="5"/>
      <c r="K100" s="5"/>
    </row>
    <row r="101" spans="2:11" x14ac:dyDescent="0.25">
      <c r="B101" s="5"/>
      <c r="D101" s="5"/>
      <c r="E101" s="5"/>
      <c r="F101" s="5"/>
      <c r="G101" s="5"/>
      <c r="H101" s="5"/>
      <c r="I101" s="5"/>
      <c r="J101" s="5"/>
      <c r="K101" s="5"/>
    </row>
    <row r="102" spans="2:11" x14ac:dyDescent="0.25">
      <c r="B102" s="5"/>
      <c r="D102" s="5"/>
      <c r="E102" s="5"/>
      <c r="F102" s="5"/>
      <c r="G102" s="5"/>
      <c r="H102" s="5"/>
      <c r="I102" s="5"/>
      <c r="J102" s="5"/>
      <c r="K102" s="5"/>
    </row>
    <row r="103" spans="2:11" x14ac:dyDescent="0.25">
      <c r="B103" s="5"/>
      <c r="D103" s="5"/>
      <c r="E103" s="5"/>
      <c r="F103" s="5"/>
      <c r="G103" s="5"/>
      <c r="H103" s="5"/>
      <c r="I103" s="5"/>
      <c r="J103" s="5"/>
      <c r="K103" s="5"/>
    </row>
    <row r="104" spans="2:11" x14ac:dyDescent="0.25">
      <c r="B104" s="5"/>
      <c r="D104" s="5"/>
      <c r="E104" s="5"/>
      <c r="F104" s="5"/>
      <c r="G104" s="5"/>
      <c r="H104" s="5"/>
      <c r="I104" s="5"/>
      <c r="J104" s="5"/>
      <c r="K104" s="5"/>
    </row>
    <row r="105" spans="2:11" x14ac:dyDescent="0.25">
      <c r="B105" s="5"/>
      <c r="D105" s="5"/>
      <c r="E105" s="5"/>
      <c r="F105" s="5"/>
      <c r="G105" s="5"/>
      <c r="H105" s="5"/>
      <c r="I105" s="5"/>
      <c r="J105" s="5"/>
      <c r="K105" s="5"/>
    </row>
    <row r="106" spans="2:11" x14ac:dyDescent="0.25">
      <c r="B106" s="5"/>
      <c r="D106" s="5"/>
      <c r="E106" s="5"/>
      <c r="F106" s="5"/>
      <c r="G106" s="5"/>
      <c r="H106" s="5"/>
      <c r="I106" s="5"/>
      <c r="J106" s="5"/>
      <c r="K106" s="5"/>
    </row>
    <row r="107" spans="2:11" x14ac:dyDescent="0.25">
      <c r="B107" s="5"/>
      <c r="D107" s="5"/>
      <c r="E107" s="5"/>
      <c r="F107" s="5"/>
      <c r="G107" s="5"/>
      <c r="H107" s="5"/>
      <c r="I107" s="5"/>
      <c r="J107" s="5"/>
      <c r="K107" s="5"/>
    </row>
    <row r="108" spans="2:11" x14ac:dyDescent="0.25">
      <c r="B108" s="5"/>
      <c r="D108" s="5"/>
      <c r="E108" s="5"/>
      <c r="F108" s="5"/>
      <c r="G108" s="5"/>
      <c r="H108" s="5"/>
      <c r="I108" s="5"/>
      <c r="J108" s="5"/>
      <c r="K108" s="5"/>
    </row>
    <row r="109" spans="2:11" x14ac:dyDescent="0.25">
      <c r="B109" s="5"/>
      <c r="D109" s="5"/>
      <c r="E109" s="5"/>
      <c r="F109" s="5"/>
      <c r="G109" s="5"/>
      <c r="H109" s="5"/>
      <c r="I109" s="5"/>
      <c r="J109" s="5"/>
      <c r="K109" s="5"/>
    </row>
    <row r="110" spans="2:11" x14ac:dyDescent="0.25">
      <c r="B110" s="5"/>
      <c r="D110" s="5"/>
      <c r="E110" s="5"/>
      <c r="F110" s="5"/>
      <c r="G110" s="5"/>
      <c r="H110" s="5"/>
      <c r="I110" s="5"/>
      <c r="J110" s="5"/>
      <c r="K110" s="5"/>
    </row>
    <row r="111" spans="2:11" x14ac:dyDescent="0.25">
      <c r="B111" s="5"/>
      <c r="D111" s="5"/>
      <c r="E111" s="5"/>
      <c r="F111" s="5"/>
      <c r="G111" s="5"/>
      <c r="H111" s="5"/>
      <c r="I111" s="5"/>
      <c r="J111" s="5"/>
      <c r="K111" s="5"/>
    </row>
    <row r="112" spans="2:11" x14ac:dyDescent="0.25">
      <c r="B112" s="5"/>
      <c r="D112" s="5"/>
      <c r="E112" s="5"/>
      <c r="F112" s="5"/>
      <c r="G112" s="5"/>
      <c r="H112" s="5"/>
      <c r="I112" s="5"/>
      <c r="J112" s="5"/>
      <c r="K112" s="5"/>
    </row>
    <row r="113" spans="2:11" x14ac:dyDescent="0.25">
      <c r="B113" s="5"/>
      <c r="D113" s="5"/>
      <c r="E113" s="5"/>
      <c r="F113" s="5"/>
      <c r="G113" s="5"/>
      <c r="H113" s="5"/>
      <c r="I113" s="5"/>
      <c r="J113" s="5"/>
      <c r="K113" s="5"/>
    </row>
    <row r="114" spans="2:11" x14ac:dyDescent="0.25">
      <c r="B114" s="5"/>
      <c r="D114" s="5"/>
      <c r="E114" s="5"/>
      <c r="F114" s="5"/>
      <c r="G114" s="5"/>
      <c r="H114" s="5"/>
      <c r="I114" s="5"/>
      <c r="J114" s="5"/>
      <c r="K114" s="5"/>
    </row>
    <row r="115" spans="2:11" x14ac:dyDescent="0.25">
      <c r="B115" s="5"/>
      <c r="D115" s="5"/>
      <c r="E115" s="5"/>
      <c r="F115" s="5"/>
      <c r="G115" s="5"/>
      <c r="H115" s="5"/>
      <c r="I115" s="5"/>
      <c r="J115" s="5"/>
      <c r="K115" s="5"/>
    </row>
    <row r="116" spans="2:11" x14ac:dyDescent="0.25">
      <c r="B116" s="5"/>
      <c r="D116" s="5"/>
      <c r="E116" s="5"/>
      <c r="F116" s="5"/>
      <c r="G116" s="5"/>
      <c r="H116" s="5"/>
      <c r="I116" s="5"/>
      <c r="J116" s="5"/>
      <c r="K116" s="5"/>
    </row>
    <row r="117" spans="2:11" x14ac:dyDescent="0.25">
      <c r="B117" s="5"/>
      <c r="D117" s="5"/>
      <c r="E117" s="5"/>
      <c r="F117" s="5"/>
      <c r="G117" s="5"/>
      <c r="H117" s="5"/>
      <c r="I117" s="5"/>
      <c r="J117" s="5"/>
      <c r="K117" s="5"/>
    </row>
    <row r="118" spans="2:11" x14ac:dyDescent="0.25">
      <c r="B118" s="5"/>
      <c r="D118" s="5"/>
      <c r="E118" s="5"/>
      <c r="F118" s="5"/>
      <c r="G118" s="5"/>
      <c r="H118" s="5"/>
      <c r="I118" s="5"/>
      <c r="J118" s="5"/>
      <c r="K118" s="5"/>
    </row>
    <row r="119" spans="2:11" x14ac:dyDescent="0.25">
      <c r="B119" s="5"/>
      <c r="D119" s="5"/>
      <c r="E119" s="5"/>
      <c r="F119" s="5"/>
      <c r="G119" s="5"/>
      <c r="H119" s="5"/>
      <c r="I119" s="5"/>
      <c r="J119" s="5"/>
      <c r="K119" s="5"/>
    </row>
    <row r="120" spans="2:11" x14ac:dyDescent="0.25">
      <c r="B120" s="5"/>
      <c r="D120" s="5"/>
      <c r="E120" s="5"/>
      <c r="F120" s="5"/>
      <c r="G120" s="5"/>
      <c r="H120" s="5"/>
      <c r="I120" s="5"/>
      <c r="J120" s="5"/>
      <c r="K120" s="5"/>
    </row>
    <row r="121" spans="2:11" x14ac:dyDescent="0.25">
      <c r="B121" s="5"/>
      <c r="D121" s="5"/>
      <c r="E121" s="5"/>
      <c r="F121" s="5"/>
      <c r="G121" s="5"/>
      <c r="H121" s="5"/>
      <c r="I121" s="5"/>
      <c r="J121" s="5"/>
      <c r="K121" s="5"/>
    </row>
    <row r="122" spans="2:11" x14ac:dyDescent="0.25">
      <c r="B122" s="5"/>
      <c r="D122" s="5"/>
      <c r="E122" s="5"/>
      <c r="F122" s="5"/>
      <c r="G122" s="5"/>
      <c r="H122" s="5"/>
      <c r="I122" s="5"/>
      <c r="J122" s="5"/>
      <c r="K122" s="5"/>
    </row>
    <row r="123" spans="2:11" x14ac:dyDescent="0.25">
      <c r="B123" s="5"/>
      <c r="D123" s="5"/>
      <c r="E123" s="5"/>
      <c r="F123" s="5"/>
      <c r="G123" s="5"/>
      <c r="H123" s="5"/>
      <c r="I123" s="5"/>
      <c r="J123" s="5"/>
      <c r="K123" s="5"/>
    </row>
    <row r="124" spans="2:11" x14ac:dyDescent="0.25">
      <c r="B124" s="5"/>
      <c r="D124" s="5"/>
      <c r="E124" s="5"/>
      <c r="F124" s="5"/>
      <c r="G124" s="5"/>
      <c r="H124" s="5"/>
      <c r="I124" s="5"/>
      <c r="J124" s="5"/>
      <c r="K124" s="5"/>
    </row>
    <row r="125" spans="2:11" x14ac:dyDescent="0.25">
      <c r="B125" s="5"/>
      <c r="D125" s="5"/>
      <c r="E125" s="5"/>
      <c r="F125" s="5"/>
      <c r="G125" s="5"/>
      <c r="H125" s="5"/>
      <c r="I125" s="5"/>
      <c r="J125" s="5"/>
      <c r="K125" s="5"/>
    </row>
    <row r="126" spans="2:11" x14ac:dyDescent="0.25">
      <c r="B126" s="5"/>
      <c r="D126" s="5"/>
      <c r="E126" s="5"/>
      <c r="F126" s="5"/>
      <c r="G126" s="5"/>
      <c r="H126" s="5"/>
      <c r="I126" s="5"/>
      <c r="J126" s="5"/>
      <c r="K126" s="5"/>
    </row>
    <row r="127" spans="2:11" x14ac:dyDescent="0.25">
      <c r="B127" s="5"/>
      <c r="D127" s="5"/>
      <c r="E127" s="5"/>
      <c r="F127" s="5"/>
      <c r="G127" s="5"/>
      <c r="H127" s="5"/>
      <c r="I127" s="5"/>
      <c r="J127" s="5"/>
      <c r="K127" s="5"/>
    </row>
    <row r="128" spans="2:11" x14ac:dyDescent="0.25">
      <c r="B128" s="5"/>
      <c r="D128" s="5"/>
      <c r="E128" s="5"/>
      <c r="F128" s="5"/>
      <c r="G128" s="5"/>
      <c r="H128" s="5"/>
      <c r="I128" s="5"/>
      <c r="J128" s="5"/>
      <c r="K128" s="5"/>
    </row>
    <row r="129" spans="2:11" x14ac:dyDescent="0.25">
      <c r="B129" s="5"/>
      <c r="D129" s="5"/>
      <c r="E129" s="5"/>
      <c r="F129" s="5"/>
      <c r="G129" s="5"/>
      <c r="H129" s="5"/>
      <c r="I129" s="5"/>
      <c r="J129" s="5"/>
      <c r="K129" s="5"/>
    </row>
    <row r="130" spans="2:11" x14ac:dyDescent="0.25">
      <c r="B130" s="5"/>
      <c r="D130" s="5"/>
      <c r="E130" s="5"/>
      <c r="F130" s="5"/>
      <c r="G130" s="5"/>
      <c r="H130" s="5"/>
      <c r="I130" s="5"/>
      <c r="J130" s="5"/>
      <c r="K130" s="5"/>
    </row>
    <row r="131" spans="2:11" x14ac:dyDescent="0.25">
      <c r="B131" s="5"/>
      <c r="D131" s="5"/>
      <c r="E131" s="5"/>
      <c r="F131" s="5"/>
      <c r="G131" s="5"/>
      <c r="H131" s="5"/>
      <c r="I131" s="5"/>
      <c r="J131" s="5"/>
      <c r="K131" s="5"/>
    </row>
    <row r="132" spans="2:11" x14ac:dyDescent="0.25">
      <c r="B132" s="5"/>
      <c r="D132" s="5"/>
      <c r="E132" s="5"/>
      <c r="F132" s="5"/>
      <c r="G132" s="5"/>
      <c r="H132" s="5"/>
      <c r="I132" s="5"/>
      <c r="J132" s="5"/>
      <c r="K132" s="5"/>
    </row>
    <row r="133" spans="2:11" x14ac:dyDescent="0.25">
      <c r="B133" s="5"/>
      <c r="D133" s="5"/>
      <c r="E133" s="5"/>
      <c r="F133" s="5"/>
      <c r="G133" s="5"/>
      <c r="H133" s="5"/>
      <c r="I133" s="5"/>
      <c r="J133" s="5"/>
      <c r="K133" s="5"/>
    </row>
    <row r="134" spans="2:11" x14ac:dyDescent="0.25">
      <c r="B134" s="5"/>
      <c r="D134" s="5"/>
      <c r="E134" s="5"/>
      <c r="F134" s="5"/>
      <c r="G134" s="5"/>
      <c r="H134" s="5"/>
      <c r="I134" s="5"/>
      <c r="J134" s="5"/>
      <c r="K134" s="5"/>
    </row>
    <row r="135" spans="2:11" x14ac:dyDescent="0.25">
      <c r="B135" s="5"/>
      <c r="D135" s="5"/>
      <c r="E135" s="5"/>
      <c r="F135" s="5"/>
      <c r="G135" s="5"/>
      <c r="H135" s="5"/>
      <c r="I135" s="5"/>
      <c r="J135" s="5"/>
      <c r="K135" s="5"/>
    </row>
    <row r="136" spans="2:11" x14ac:dyDescent="0.25">
      <c r="B136" s="5"/>
      <c r="D136" s="5"/>
      <c r="E136" s="5"/>
      <c r="F136" s="5"/>
      <c r="G136" s="5"/>
      <c r="H136" s="5"/>
      <c r="I136" s="5"/>
      <c r="J136" s="5"/>
      <c r="K136" s="5"/>
    </row>
    <row r="137" spans="2:11" x14ac:dyDescent="0.25">
      <c r="B137" s="5"/>
      <c r="D137" s="5"/>
      <c r="E137" s="5"/>
      <c r="F137" s="5"/>
      <c r="G137" s="5"/>
      <c r="H137" s="5"/>
      <c r="I137" s="5"/>
      <c r="J137" s="5"/>
      <c r="K137" s="5"/>
    </row>
    <row r="138" spans="2:11" x14ac:dyDescent="0.25">
      <c r="B138" s="5"/>
      <c r="D138" s="5"/>
      <c r="E138" s="5"/>
      <c r="F138" s="5"/>
      <c r="G138" s="5"/>
      <c r="H138" s="5"/>
      <c r="I138" s="5"/>
      <c r="J138" s="5"/>
      <c r="K138" s="5"/>
    </row>
    <row r="139" spans="2:11" x14ac:dyDescent="0.25">
      <c r="B139" s="5"/>
      <c r="D139" s="5"/>
      <c r="E139" s="5"/>
      <c r="F139" s="5"/>
      <c r="G139" s="5"/>
      <c r="H139" s="5"/>
      <c r="I139" s="5"/>
      <c r="J139" s="5"/>
      <c r="K139" s="5"/>
    </row>
    <row r="140" spans="2:11" x14ac:dyDescent="0.25">
      <c r="B140" s="5"/>
      <c r="D140" s="5"/>
      <c r="E140" s="5"/>
      <c r="F140" s="5"/>
      <c r="G140" s="5"/>
      <c r="H140" s="5"/>
      <c r="I140" s="5"/>
      <c r="J140" s="5"/>
      <c r="K140" s="5"/>
    </row>
    <row r="141" spans="2:11" x14ac:dyDescent="0.25">
      <c r="B141" s="5"/>
      <c r="D141" s="5"/>
      <c r="E141" s="5"/>
      <c r="F141" s="5"/>
      <c r="G141" s="5"/>
      <c r="H141" s="5"/>
      <c r="I141" s="5"/>
      <c r="J141" s="5"/>
      <c r="K141" s="5"/>
    </row>
    <row r="142" spans="2:11" x14ac:dyDescent="0.25">
      <c r="B142" s="5"/>
      <c r="D142" s="5"/>
      <c r="E142" s="5"/>
      <c r="F142" s="5"/>
      <c r="G142" s="5"/>
      <c r="H142" s="5"/>
      <c r="I142" s="5"/>
      <c r="J142" s="5"/>
      <c r="K142" s="5"/>
    </row>
    <row r="143" spans="2:11" x14ac:dyDescent="0.25">
      <c r="B143" s="5"/>
      <c r="D143" s="5"/>
      <c r="E143" s="5"/>
      <c r="F143" s="5"/>
      <c r="G143" s="5"/>
      <c r="H143" s="5"/>
      <c r="I143" s="5"/>
      <c r="J143" s="5"/>
      <c r="K143" s="5"/>
    </row>
    <row r="144" spans="2:11" x14ac:dyDescent="0.25">
      <c r="B144" s="5"/>
      <c r="D144" s="5"/>
      <c r="E144" s="5"/>
      <c r="F144" s="5"/>
      <c r="G144" s="5"/>
      <c r="H144" s="5"/>
      <c r="I144" s="5"/>
      <c r="J144" s="5"/>
      <c r="K144" s="5"/>
    </row>
    <row r="145" spans="2:11" x14ac:dyDescent="0.25">
      <c r="B145" s="5"/>
      <c r="D145" s="5"/>
      <c r="E145" s="5"/>
      <c r="F145" s="5"/>
      <c r="G145" s="5"/>
      <c r="H145" s="5"/>
      <c r="I145" s="5"/>
      <c r="J145" s="5"/>
      <c r="K145" s="5"/>
    </row>
    <row r="146" spans="2:11" x14ac:dyDescent="0.25">
      <c r="B146" s="5"/>
      <c r="D146" s="5"/>
      <c r="E146" s="5"/>
      <c r="F146" s="5"/>
      <c r="G146" s="5"/>
      <c r="H146" s="5"/>
      <c r="I146" s="5"/>
      <c r="J146" s="5"/>
      <c r="K146" s="5"/>
    </row>
    <row r="147" spans="2:11" x14ac:dyDescent="0.25">
      <c r="B147" s="5"/>
      <c r="D147" s="5"/>
      <c r="E147" s="5"/>
      <c r="F147" s="5"/>
      <c r="G147" s="5"/>
      <c r="H147" s="5"/>
      <c r="I147" s="5"/>
      <c r="J147" s="5"/>
      <c r="K147" s="5"/>
    </row>
    <row r="148" spans="2:11" x14ac:dyDescent="0.25">
      <c r="B148" s="5"/>
      <c r="D148" s="5"/>
      <c r="E148" s="5"/>
      <c r="F148" s="5"/>
      <c r="G148" s="5"/>
      <c r="H148" s="5"/>
      <c r="I148" s="5"/>
      <c r="J148" s="5"/>
      <c r="K148" s="5"/>
    </row>
    <row r="149" spans="2:11" x14ac:dyDescent="0.25">
      <c r="B149" s="5"/>
      <c r="D149" s="5"/>
      <c r="E149" s="5"/>
      <c r="F149" s="5"/>
      <c r="G149" s="5"/>
      <c r="H149" s="5"/>
      <c r="I149" s="5"/>
      <c r="J149" s="5"/>
      <c r="K149" s="5"/>
    </row>
    <row r="150" spans="2:11" x14ac:dyDescent="0.25">
      <c r="B150" s="5"/>
      <c r="D150" s="5"/>
      <c r="E150" s="5"/>
      <c r="F150" s="5"/>
      <c r="G150" s="5"/>
      <c r="H150" s="5"/>
      <c r="I150" s="5"/>
      <c r="J150" s="5"/>
      <c r="K150" s="5"/>
    </row>
    <row r="151" spans="2:11" x14ac:dyDescent="0.25">
      <c r="B151" s="5"/>
      <c r="D151" s="5"/>
      <c r="E151" s="5"/>
      <c r="F151" s="5"/>
      <c r="G151" s="5"/>
      <c r="H151" s="5"/>
      <c r="I151" s="5"/>
      <c r="J151" s="5"/>
      <c r="K151" s="5"/>
    </row>
    <row r="152" spans="2:11" x14ac:dyDescent="0.25">
      <c r="B152" s="5"/>
      <c r="D152" s="5"/>
      <c r="E152" s="5"/>
      <c r="F152" s="5"/>
      <c r="G152" s="5"/>
      <c r="H152" s="5"/>
      <c r="I152" s="5"/>
      <c r="J152" s="5"/>
      <c r="K152" s="5"/>
    </row>
    <row r="153" spans="2:11" x14ac:dyDescent="0.25">
      <c r="B153" s="5"/>
      <c r="D153" s="5"/>
      <c r="E153" s="5"/>
      <c r="F153" s="5"/>
      <c r="G153" s="5"/>
      <c r="H153" s="5"/>
      <c r="I153" s="5"/>
      <c r="J153" s="5"/>
      <c r="K153" s="5"/>
    </row>
    <row r="154" spans="2:11" x14ac:dyDescent="0.25">
      <c r="B154" s="5"/>
      <c r="D154" s="5"/>
      <c r="E154" s="5"/>
      <c r="F154" s="5"/>
      <c r="G154" s="5"/>
      <c r="H154" s="5"/>
      <c r="I154" s="5"/>
      <c r="J154" s="5"/>
      <c r="K154" s="5"/>
    </row>
    <row r="155" spans="2:11" x14ac:dyDescent="0.25">
      <c r="B155" s="5"/>
      <c r="D155" s="5"/>
      <c r="E155" s="5"/>
      <c r="F155" s="5"/>
      <c r="G155" s="5"/>
      <c r="H155" s="5"/>
      <c r="I155" s="5"/>
      <c r="J155" s="5"/>
      <c r="K155" s="5"/>
    </row>
    <row r="156" spans="2:11" x14ac:dyDescent="0.25">
      <c r="B156" s="5"/>
      <c r="D156" s="5"/>
      <c r="E156" s="5"/>
      <c r="F156" s="5"/>
      <c r="G156" s="5"/>
      <c r="H156" s="5"/>
      <c r="I156" s="5"/>
      <c r="J156" s="5"/>
      <c r="K156" s="5"/>
    </row>
    <row r="157" spans="2:11" x14ac:dyDescent="0.25">
      <c r="B157" s="5"/>
      <c r="D157" s="5"/>
      <c r="E157" s="5"/>
      <c r="F157" s="5"/>
      <c r="G157" s="5"/>
      <c r="H157" s="5"/>
      <c r="I157" s="5"/>
      <c r="J157" s="5"/>
      <c r="K157" s="5"/>
    </row>
    <row r="158" spans="2:11" x14ac:dyDescent="0.25">
      <c r="B158" s="5"/>
      <c r="D158" s="5"/>
      <c r="E158" s="5"/>
      <c r="F158" s="5"/>
      <c r="G158" s="5"/>
      <c r="H158" s="5"/>
      <c r="I158" s="5"/>
      <c r="J158" s="5"/>
      <c r="K158" s="5"/>
    </row>
    <row r="159" spans="2:11" x14ac:dyDescent="0.25">
      <c r="B159" s="5"/>
      <c r="D159" s="5"/>
      <c r="E159" s="5"/>
      <c r="F159" s="5"/>
      <c r="G159" s="5"/>
      <c r="H159" s="5"/>
      <c r="I159" s="5"/>
      <c r="J159" s="5"/>
      <c r="K159" s="5"/>
    </row>
    <row r="160" spans="2:11" x14ac:dyDescent="0.25">
      <c r="B160" s="5"/>
      <c r="D160" s="5"/>
      <c r="E160" s="5"/>
      <c r="F160" s="5"/>
      <c r="G160" s="5"/>
      <c r="H160" s="5"/>
      <c r="I160" s="5"/>
      <c r="J160" s="5"/>
      <c r="K160" s="5"/>
    </row>
    <row r="161" spans="2:11" x14ac:dyDescent="0.25">
      <c r="B161" s="5"/>
      <c r="D161" s="5"/>
      <c r="E161" s="5"/>
      <c r="F161" s="5"/>
      <c r="G161" s="5"/>
      <c r="H161" s="5"/>
      <c r="I161" s="5"/>
      <c r="J161" s="5"/>
      <c r="K161" s="5"/>
    </row>
    <row r="162" spans="2:11" x14ac:dyDescent="0.25">
      <c r="B162" s="5"/>
      <c r="D162" s="5"/>
      <c r="E162" s="5"/>
      <c r="F162" s="5"/>
      <c r="G162" s="5"/>
      <c r="H162" s="5"/>
      <c r="I162" s="5"/>
      <c r="J162" s="5"/>
      <c r="K162" s="5"/>
    </row>
    <row r="163" spans="2:11" x14ac:dyDescent="0.25">
      <c r="B163" s="5"/>
      <c r="D163" s="5"/>
      <c r="E163" s="5"/>
      <c r="F163" s="5"/>
      <c r="G163" s="5"/>
      <c r="H163" s="5"/>
      <c r="I163" s="5"/>
      <c r="J163" s="5"/>
      <c r="K163" s="5"/>
    </row>
    <row r="164" spans="2:11" x14ac:dyDescent="0.25">
      <c r="B164" s="5"/>
      <c r="D164" s="5"/>
      <c r="E164" s="5"/>
      <c r="F164" s="5"/>
      <c r="G164" s="5"/>
      <c r="H164" s="5"/>
      <c r="I164" s="5"/>
      <c r="J164" s="5"/>
      <c r="K164" s="5"/>
    </row>
    <row r="165" spans="2:11" x14ac:dyDescent="0.25">
      <c r="B165" s="5"/>
      <c r="D165" s="5"/>
      <c r="E165" s="5"/>
      <c r="F165" s="5"/>
      <c r="G165" s="5"/>
      <c r="H165" s="5"/>
      <c r="I165" s="5"/>
      <c r="J165" s="5"/>
      <c r="K165" s="5"/>
    </row>
    <row r="166" spans="2:11" x14ac:dyDescent="0.25">
      <c r="B166" s="5"/>
      <c r="D166" s="5"/>
      <c r="E166" s="5"/>
      <c r="F166" s="5"/>
      <c r="G166" s="5"/>
      <c r="H166" s="5"/>
      <c r="I166" s="5"/>
      <c r="J166" s="5"/>
      <c r="K166" s="5"/>
    </row>
    <row r="167" spans="2:11" x14ac:dyDescent="0.25">
      <c r="B167" s="5"/>
      <c r="D167" s="5"/>
      <c r="E167" s="5"/>
      <c r="F167" s="5"/>
      <c r="G167" s="5"/>
      <c r="H167" s="5"/>
      <c r="I167" s="5"/>
      <c r="J167" s="5"/>
      <c r="K167" s="5"/>
    </row>
    <row r="168" spans="2:11" x14ac:dyDescent="0.25">
      <c r="B168" s="5"/>
      <c r="D168" s="5"/>
      <c r="E168" s="5"/>
      <c r="F168" s="5"/>
      <c r="G168" s="5"/>
      <c r="H168" s="5"/>
      <c r="I168" s="5"/>
      <c r="J168" s="5"/>
      <c r="K168" s="5"/>
    </row>
    <row r="169" spans="2:11" x14ac:dyDescent="0.25">
      <c r="B169" s="5"/>
      <c r="D169" s="5"/>
      <c r="E169" s="5"/>
      <c r="F169" s="5"/>
      <c r="G169" s="5"/>
      <c r="H169" s="5"/>
      <c r="I169" s="5"/>
      <c r="J169" s="5"/>
      <c r="K169" s="5"/>
    </row>
    <row r="170" spans="2:11" x14ac:dyDescent="0.25">
      <c r="B170" s="5"/>
      <c r="D170" s="5"/>
      <c r="E170" s="5"/>
      <c r="F170" s="5"/>
      <c r="G170" s="5"/>
      <c r="H170" s="5"/>
      <c r="I170" s="5"/>
      <c r="J170" s="5"/>
      <c r="K170" s="5"/>
    </row>
    <row r="171" spans="2:11" x14ac:dyDescent="0.25">
      <c r="B171" s="5"/>
      <c r="D171" s="5"/>
      <c r="E171" s="5"/>
      <c r="F171" s="5"/>
      <c r="G171" s="5"/>
      <c r="H171" s="5"/>
      <c r="I171" s="5"/>
      <c r="J171" s="5"/>
      <c r="K171" s="5"/>
    </row>
    <row r="172" spans="2:11" x14ac:dyDescent="0.25">
      <c r="B172" s="5"/>
      <c r="D172" s="5"/>
      <c r="E172" s="5"/>
      <c r="F172" s="5"/>
      <c r="G172" s="5"/>
      <c r="H172" s="5"/>
      <c r="I172" s="5"/>
      <c r="J172" s="5"/>
      <c r="K172" s="5"/>
    </row>
    <row r="173" spans="2:11" x14ac:dyDescent="0.25">
      <c r="B173" s="5"/>
      <c r="D173" s="5"/>
      <c r="E173" s="5"/>
      <c r="F173" s="5"/>
      <c r="G173" s="5"/>
      <c r="H173" s="5"/>
      <c r="I173" s="5"/>
      <c r="J173" s="5"/>
      <c r="K173" s="5"/>
    </row>
    <row r="174" spans="2:11" x14ac:dyDescent="0.25">
      <c r="B174" s="5"/>
      <c r="D174" s="5"/>
      <c r="E174" s="5"/>
      <c r="F174" s="5"/>
      <c r="G174" s="5"/>
      <c r="H174" s="5"/>
      <c r="I174" s="5"/>
      <c r="J174" s="5"/>
      <c r="K174" s="5"/>
    </row>
    <row r="175" spans="2:11" x14ac:dyDescent="0.25">
      <c r="B175" s="5"/>
      <c r="D175" s="5"/>
      <c r="E175" s="5"/>
      <c r="F175" s="5"/>
      <c r="G175" s="5"/>
      <c r="H175" s="5"/>
      <c r="I175" s="5"/>
      <c r="J175" s="5"/>
      <c r="K175" s="5"/>
    </row>
    <row r="176" spans="2:11" x14ac:dyDescent="0.25">
      <c r="B176" s="5"/>
      <c r="D176" s="5"/>
      <c r="E176" s="5"/>
      <c r="F176" s="5"/>
      <c r="G176" s="5"/>
      <c r="H176" s="5"/>
      <c r="I176" s="5"/>
      <c r="J176" s="5"/>
      <c r="K176" s="5"/>
    </row>
    <row r="177" spans="2:11" x14ac:dyDescent="0.25">
      <c r="B177" s="5"/>
      <c r="D177" s="5"/>
      <c r="E177" s="5"/>
      <c r="F177" s="5"/>
      <c r="G177" s="5"/>
      <c r="H177" s="5"/>
      <c r="I177" s="5"/>
      <c r="J177" s="5"/>
      <c r="K177" s="5"/>
    </row>
    <row r="178" spans="2:11" x14ac:dyDescent="0.25">
      <c r="B178" s="5"/>
      <c r="D178" s="5"/>
      <c r="E178" s="5"/>
      <c r="F178" s="5"/>
      <c r="G178" s="5"/>
      <c r="H178" s="5"/>
      <c r="I178" s="5"/>
      <c r="J178" s="5"/>
      <c r="K178" s="5"/>
    </row>
  </sheetData>
  <mergeCells count="32">
    <mergeCell ref="A1:P1"/>
    <mergeCell ref="A2:P2"/>
    <mergeCell ref="A3:P3"/>
    <mergeCell ref="A4:D4"/>
    <mergeCell ref="A5:P5"/>
    <mergeCell ref="B44:E44"/>
    <mergeCell ref="B78:B91"/>
    <mergeCell ref="B45:B51"/>
    <mergeCell ref="B58:E59"/>
    <mergeCell ref="D15:K15"/>
    <mergeCell ref="D16:K16"/>
    <mergeCell ref="D19:K19"/>
    <mergeCell ref="D31:K31"/>
    <mergeCell ref="C20:C21"/>
    <mergeCell ref="D20:D21"/>
    <mergeCell ref="E20:E21"/>
    <mergeCell ref="F20:J20"/>
    <mergeCell ref="B15:B19"/>
    <mergeCell ref="B10:D10"/>
    <mergeCell ref="D32:K32"/>
    <mergeCell ref="D33:K33"/>
    <mergeCell ref="B35:E35"/>
    <mergeCell ref="B36:B42"/>
    <mergeCell ref="F10:S10"/>
    <mergeCell ref="F11:S11"/>
    <mergeCell ref="E12:R12"/>
    <mergeCell ref="E13:R13"/>
    <mergeCell ref="B92:B100"/>
    <mergeCell ref="B61:D61"/>
    <mergeCell ref="B63:B74"/>
    <mergeCell ref="B75:B76"/>
    <mergeCell ref="D75:D76"/>
  </mergeCells>
  <conditionalFormatting sqref="E12:R12">
    <cfRule type="expression" dxfId="61" priority="1">
      <formula>E11="SI SE REPORTA"</formula>
    </cfRule>
  </conditionalFormatting>
  <conditionalFormatting sqref="F10">
    <cfRule type="notContainsBlanks" dxfId="60" priority="4">
      <formula>LEN(TRIM(F10))&gt;0</formula>
    </cfRule>
  </conditionalFormatting>
  <conditionalFormatting sqref="F11:S11">
    <cfRule type="expression" dxfId="59" priority="2">
      <formula>E11="NO SE REPORTA"</formula>
    </cfRule>
    <cfRule type="expression" dxfId="58" priority="3">
      <formula>E10="NO APLICA"</formula>
    </cfRule>
  </conditionalFormatting>
  <conditionalFormatting sqref="H30">
    <cfRule type="containsText" dxfId="57" priority="5" operator="containsText" text="ERROR">
      <formula>NOT(ISERROR(SEARCH("ERROR",H30)))</formula>
    </cfRule>
  </conditionalFormatting>
  <dataValidations count="5">
    <dataValidation type="list" allowBlank="1" showInputMessage="1" showErrorMessage="1" sqref="E10" xr:uid="{00000000-0002-0000-1800-000004000000}">
      <formula1>SI</formula1>
    </dataValidation>
    <dataValidation type="list" allowBlank="1" showInputMessage="1" showErrorMessage="1" sqref="E11" xr:uid="{00000000-0002-0000-1800-000003000000}">
      <formula1>REPORTE</formula1>
    </dataValidation>
    <dataValidation allowBlank="1" showInputMessage="1" showErrorMessage="1" sqref="H30 I22:I30" xr:uid="{00000000-0002-0000-1800-000002000000}"/>
    <dataValidation type="decimal" allowBlank="1" showInputMessage="1" showErrorMessage="1" errorTitle="ERROR" error="Escriba un valor entre 0% y 100%" sqref="F22:H29" xr:uid="{00000000-0002-0000-1800-000001000000}">
      <formula1>0</formula1>
      <formula2>1</formula2>
    </dataValidation>
    <dataValidation type="whole" operator="greaterThanOrEqual" allowBlank="1" showErrorMessage="1" errorTitle="ERROR" error="Escriba un número igual o mayor que 0" promptTitle="ERROR" prompt="Escriba un número igual o mayor que 0" sqref="E18:H18" xr:uid="{00000000-0002-0000-1800-000000000000}">
      <formula1>0</formula1>
    </dataValidation>
  </dataValidations>
  <hyperlinks>
    <hyperlink ref="B9" location="'ANEXO 3'!A1" display="VOLVER AL INDICE" xr:uid="{AF50514F-E3F8-4EFA-9C9F-F0CBE9C8B510}"/>
    <hyperlink ref="E40" r:id="rId1" xr:uid="{250C42BF-199B-43F0-A5F9-D736CA79869E}"/>
  </hyperlinks>
  <pageMargins left="0.25" right="0.25" top="0.75" bottom="0.75" header="0.3" footer="0.3"/>
  <pageSetup paperSize="178" orientation="landscape" horizontalDpi="1200" verticalDpi="1200" r:id="rId2"/>
  <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79C2-8746-4F80-8C12-2ACEED67F889}">
  <dimension ref="A1:U179"/>
  <sheetViews>
    <sheetView showGridLines="0" topLeftCell="C15" zoomScale="98" zoomScaleNormal="98" workbookViewId="0">
      <selection activeCell="D18" sqref="D18:I18"/>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26</v>
      </c>
      <c r="B5" s="998"/>
      <c r="C5" s="998"/>
      <c r="D5" s="998"/>
      <c r="E5" s="998"/>
      <c r="F5" s="998"/>
      <c r="G5" s="998"/>
      <c r="H5" s="998"/>
      <c r="I5" s="998"/>
      <c r="J5" s="998"/>
      <c r="K5" s="998"/>
      <c r="L5" s="998"/>
      <c r="M5" s="998"/>
      <c r="N5" s="998"/>
      <c r="O5" s="998"/>
      <c r="P5" s="999"/>
    </row>
    <row r="6" spans="1:21" x14ac:dyDescent="0.25">
      <c r="B6" s="1" t="s">
        <v>626</v>
      </c>
      <c r="C6" s="76"/>
      <c r="D6" s="5"/>
      <c r="E6" s="74"/>
      <c r="F6" s="5" t="s">
        <v>627</v>
      </c>
      <c r="G6" s="5"/>
      <c r="H6" s="5"/>
      <c r="I6" s="5"/>
      <c r="J6" s="5"/>
      <c r="K6" s="5"/>
    </row>
    <row r="7" spans="1:21" ht="15.75" thickBot="1" x14ac:dyDescent="0.3">
      <c r="B7" s="75"/>
      <c r="C7" s="77"/>
      <c r="D7" s="5"/>
      <c r="E7" s="17"/>
      <c r="F7" s="5" t="s">
        <v>628</v>
      </c>
      <c r="G7" s="5"/>
      <c r="H7" s="5"/>
      <c r="I7" s="5"/>
      <c r="J7" s="5"/>
      <c r="K7" s="5"/>
    </row>
    <row r="8" spans="1:21" ht="15.75" thickBot="1" x14ac:dyDescent="0.3">
      <c r="B8" s="171" t="s">
        <v>629</v>
      </c>
      <c r="C8" s="211">
        <v>2024</v>
      </c>
      <c r="D8" s="216">
        <f>IF(E10="NO APLICA","NO APLICA",IF(E11="NO SE REPORTA","SIN INFORMACION",+E22))</f>
        <v>1</v>
      </c>
      <c r="E8" s="212"/>
      <c r="F8" s="5" t="s">
        <v>630</v>
      </c>
      <c r="G8" s="5"/>
      <c r="H8" s="5"/>
      <c r="I8" s="5"/>
      <c r="J8" s="5"/>
      <c r="K8" s="5"/>
    </row>
    <row r="9" spans="1:21" x14ac:dyDescent="0.25">
      <c r="B9" s="358" t="s">
        <v>631</v>
      </c>
      <c r="D9" s="5"/>
      <c r="E9" s="5"/>
      <c r="F9" s="5"/>
      <c r="G9" s="5"/>
      <c r="H9" s="5"/>
      <c r="I9" s="5"/>
      <c r="J9" s="5"/>
      <c r="K9" s="5"/>
    </row>
    <row r="10" spans="1:21" x14ac:dyDescent="0.25">
      <c r="B10" s="1008" t="s">
        <v>632</v>
      </c>
      <c r="C10" s="1008"/>
      <c r="D10" s="1008"/>
      <c r="E10" s="361" t="s">
        <v>633</v>
      </c>
      <c r="F10" s="99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96"/>
      <c r="H10" s="996"/>
      <c r="I10" s="996"/>
      <c r="J10" s="996"/>
      <c r="K10" s="996"/>
      <c r="L10" s="996"/>
      <c r="M10" s="996"/>
      <c r="N10" s="996"/>
      <c r="O10" s="996"/>
      <c r="P10" s="996"/>
      <c r="Q10" s="996"/>
      <c r="R10" s="996"/>
      <c r="S10" s="996"/>
      <c r="T10" s="5"/>
      <c r="U10" s="5"/>
    </row>
    <row r="11" spans="1:21" ht="14.45" customHeight="1" x14ac:dyDescent="0.25">
      <c r="B11" s="360"/>
      <c r="C11" s="88"/>
      <c r="D11" s="171" t="str">
        <f>IF(E10="SI APLICA","¿El indicador no se reporta por limitaciones de información disponible? ","")</f>
        <v xml:space="preserve">¿El indicador no se reporta por limitaciones de información disponible? </v>
      </c>
      <c r="E11" s="362" t="s">
        <v>634</v>
      </c>
      <c r="F11" s="1009"/>
      <c r="G11" s="1010"/>
      <c r="H11" s="1010"/>
      <c r="I11" s="1010"/>
      <c r="J11" s="1010"/>
      <c r="K11" s="1010"/>
      <c r="L11" s="1010"/>
      <c r="M11" s="1010"/>
      <c r="N11" s="1010"/>
      <c r="O11" s="1010"/>
      <c r="P11" s="1010"/>
      <c r="Q11" s="1010"/>
      <c r="R11" s="1010"/>
      <c r="S11" s="1010"/>
    </row>
    <row r="12" spans="1:21" ht="23.45" customHeight="1" x14ac:dyDescent="0.25">
      <c r="B12" s="358"/>
      <c r="C12" s="88"/>
      <c r="D12" s="171" t="str">
        <f>IF(E11="SI SE REPORTA","¿Qué programas o proyectos del Plan de Acción están asociados al indicador? ","")</f>
        <v xml:space="preserve">¿Qué programas o proyectos del Plan de Acción están asociados al indicador? </v>
      </c>
      <c r="E12" s="1011"/>
      <c r="F12" s="1011"/>
      <c r="G12" s="1011"/>
      <c r="H12" s="1011"/>
      <c r="I12" s="1011"/>
      <c r="J12" s="1011"/>
      <c r="K12" s="1011"/>
      <c r="L12" s="1011"/>
      <c r="M12" s="1011"/>
      <c r="N12" s="1011"/>
      <c r="O12" s="1011"/>
      <c r="P12" s="1011"/>
      <c r="Q12" s="1011"/>
      <c r="R12" s="1011"/>
    </row>
    <row r="13" spans="1:21" ht="21.95" customHeight="1" x14ac:dyDescent="0.25">
      <c r="B13" s="358"/>
      <c r="C13" s="88"/>
      <c r="D13" s="171" t="s">
        <v>635</v>
      </c>
      <c r="E13" s="1012"/>
      <c r="F13" s="1013"/>
      <c r="G13" s="1013"/>
      <c r="H13" s="1013"/>
      <c r="I13" s="1013"/>
      <c r="J13" s="1013"/>
      <c r="K13" s="1013"/>
      <c r="L13" s="1013"/>
      <c r="M13" s="1013"/>
      <c r="N13" s="1013"/>
      <c r="O13" s="1013"/>
      <c r="P13" s="1013"/>
      <c r="Q13" s="1013"/>
      <c r="R13" s="1014"/>
    </row>
    <row r="14" spans="1:21" ht="6.95" customHeight="1" thickBot="1" x14ac:dyDescent="0.3">
      <c r="B14" s="358"/>
      <c r="D14" s="5"/>
      <c r="E14" s="5"/>
      <c r="F14" s="5"/>
      <c r="G14" s="5"/>
      <c r="H14" s="5"/>
      <c r="I14" s="5"/>
      <c r="J14" s="5"/>
      <c r="K14" s="5"/>
    </row>
    <row r="15" spans="1:21" ht="15.75" thickBot="1" x14ac:dyDescent="0.3">
      <c r="B15" s="974" t="s">
        <v>636</v>
      </c>
      <c r="C15" s="89"/>
      <c r="D15" s="956" t="s">
        <v>637</v>
      </c>
      <c r="E15" s="957"/>
      <c r="F15" s="957"/>
      <c r="G15" s="957"/>
      <c r="H15" s="957"/>
      <c r="I15" s="958"/>
      <c r="J15" s="5"/>
      <c r="K15" s="5"/>
    </row>
    <row r="16" spans="1:21" ht="36.75" thickBot="1" x14ac:dyDescent="0.3">
      <c r="B16" s="975"/>
      <c r="C16" s="94"/>
      <c r="D16" s="43" t="s">
        <v>1299</v>
      </c>
      <c r="E16" s="6">
        <v>25</v>
      </c>
      <c r="F16" s="5"/>
      <c r="G16" s="5"/>
      <c r="H16" s="5"/>
      <c r="I16" s="21"/>
      <c r="J16" s="5"/>
      <c r="K16" s="5"/>
    </row>
    <row r="17" spans="2:11" ht="72.75" thickBot="1" x14ac:dyDescent="0.3">
      <c r="B17" s="975"/>
      <c r="C17" s="94"/>
      <c r="D17" s="40" t="s">
        <v>1300</v>
      </c>
      <c r="E17" s="6">
        <v>25</v>
      </c>
      <c r="F17" s="5"/>
      <c r="G17" s="5"/>
      <c r="H17" s="5"/>
      <c r="I17" s="21"/>
      <c r="J17" s="5"/>
      <c r="K17" s="5"/>
    </row>
    <row r="18" spans="2:11" ht="15.75" thickBot="1" x14ac:dyDescent="0.3">
      <c r="B18" s="975"/>
      <c r="C18" s="92"/>
      <c r="D18" s="986"/>
      <c r="E18" s="987"/>
      <c r="F18" s="987"/>
      <c r="G18" s="987"/>
      <c r="H18" s="987"/>
      <c r="I18" s="988"/>
      <c r="J18" s="5"/>
      <c r="K18" s="5"/>
    </row>
    <row r="19" spans="2:11" ht="15.75" thickBot="1" x14ac:dyDescent="0.3">
      <c r="B19" s="975"/>
      <c r="C19" s="94"/>
      <c r="D19" s="43" t="s">
        <v>763</v>
      </c>
      <c r="E19" s="38" t="s">
        <v>587</v>
      </c>
      <c r="F19" s="38" t="s">
        <v>588</v>
      </c>
      <c r="G19" s="38" t="s">
        <v>589</v>
      </c>
      <c r="H19" s="38" t="s">
        <v>590</v>
      </c>
      <c r="I19" s="38" t="s">
        <v>764</v>
      </c>
      <c r="J19" s="5"/>
      <c r="K19" s="5"/>
    </row>
    <row r="20" spans="2:11" ht="48.75" thickBot="1" x14ac:dyDescent="0.3">
      <c r="B20" s="975"/>
      <c r="C20" s="94"/>
      <c r="D20" s="40" t="s">
        <v>1301</v>
      </c>
      <c r="E20" s="6">
        <v>25</v>
      </c>
      <c r="F20" s="6">
        <v>25</v>
      </c>
      <c r="G20" s="6">
        <v>25</v>
      </c>
      <c r="H20" s="6">
        <v>25</v>
      </c>
      <c r="I20" s="42">
        <f>SUM(E20:H20)</f>
        <v>100</v>
      </c>
      <c r="J20" s="5"/>
      <c r="K20" s="5"/>
    </row>
    <row r="21" spans="2:11" ht="36.75" thickBot="1" x14ac:dyDescent="0.3">
      <c r="B21" s="975"/>
      <c r="C21" s="94"/>
      <c r="D21" s="40" t="s">
        <v>1302</v>
      </c>
      <c r="E21" s="6">
        <v>25</v>
      </c>
      <c r="F21" s="6"/>
      <c r="G21" s="6"/>
      <c r="H21" s="6"/>
      <c r="I21" s="42">
        <f>SUM(E21:H21)</f>
        <v>25</v>
      </c>
      <c r="J21" s="5"/>
      <c r="K21" s="5"/>
    </row>
    <row r="22" spans="2:11" ht="48.75" thickBot="1" x14ac:dyDescent="0.3">
      <c r="B22" s="976"/>
      <c r="C22" s="2"/>
      <c r="D22" s="40" t="s">
        <v>1303</v>
      </c>
      <c r="E22" s="137">
        <f>IFERROR(E21/E20,0)</f>
        <v>1</v>
      </c>
      <c r="F22" s="137">
        <f>IFERROR(F21/F20,0)</f>
        <v>0</v>
      </c>
      <c r="G22" s="137">
        <f>IFERROR(G21/G20,0)</f>
        <v>0</v>
      </c>
      <c r="H22" s="137">
        <f>IFERROR(H21/H20,0)</f>
        <v>0</v>
      </c>
      <c r="I22" s="137">
        <f>IFERROR(I21/I20,0)</f>
        <v>0.25</v>
      </c>
      <c r="J22" s="5"/>
      <c r="K22" s="5"/>
    </row>
    <row r="23" spans="2:11" ht="36" customHeight="1" thickBot="1" x14ac:dyDescent="0.3">
      <c r="B23" s="47" t="s">
        <v>671</v>
      </c>
      <c r="C23" s="93"/>
      <c r="D23" s="983" t="s">
        <v>1304</v>
      </c>
      <c r="E23" s="984"/>
      <c r="F23" s="984"/>
      <c r="G23" s="984"/>
      <c r="H23" s="984"/>
      <c r="I23" s="985"/>
      <c r="J23" s="5"/>
      <c r="K23" s="5"/>
    </row>
    <row r="24" spans="2:11" ht="36" customHeight="1" thickBot="1" x14ac:dyDescent="0.3">
      <c r="B24" s="47" t="s">
        <v>673</v>
      </c>
      <c r="C24" s="93"/>
      <c r="D24" s="983" t="s">
        <v>772</v>
      </c>
      <c r="E24" s="984"/>
      <c r="F24" s="984"/>
      <c r="G24" s="984"/>
      <c r="H24" s="984"/>
      <c r="I24" s="985"/>
      <c r="J24" s="5"/>
      <c r="K24" s="5"/>
    </row>
    <row r="25" spans="2:11" ht="15.75" thickBot="1" x14ac:dyDescent="0.3">
      <c r="B25" s="37"/>
      <c r="C25" s="88"/>
      <c r="D25" s="5"/>
      <c r="E25" s="5"/>
      <c r="F25" s="5"/>
      <c r="G25" s="5"/>
      <c r="H25" s="5"/>
      <c r="I25" s="5"/>
      <c r="J25" s="5"/>
      <c r="K25" s="5"/>
    </row>
    <row r="26" spans="2:11" ht="24" customHeight="1" thickBot="1" x14ac:dyDescent="0.3">
      <c r="B26" s="971" t="s">
        <v>675</v>
      </c>
      <c r="C26" s="972"/>
      <c r="D26" s="972"/>
      <c r="E26" s="973"/>
      <c r="F26" s="5"/>
      <c r="G26" s="5"/>
      <c r="H26" s="5"/>
      <c r="I26" s="5"/>
      <c r="J26" s="5"/>
      <c r="K26" s="5"/>
    </row>
    <row r="27" spans="2:11" ht="48.75" thickBot="1" x14ac:dyDescent="0.3">
      <c r="B27" s="974">
        <v>1</v>
      </c>
      <c r="C27" s="94"/>
      <c r="D27" s="48" t="s">
        <v>676</v>
      </c>
      <c r="E27" s="337" t="s">
        <v>2301</v>
      </c>
      <c r="F27" s="5"/>
      <c r="G27" s="5"/>
      <c r="H27" s="5"/>
      <c r="I27" s="5"/>
      <c r="J27" s="5"/>
      <c r="K27" s="5"/>
    </row>
    <row r="28" spans="2:11" ht="48.75" thickBot="1" x14ac:dyDescent="0.3">
      <c r="B28" s="975"/>
      <c r="C28" s="94"/>
      <c r="D28" s="40" t="s">
        <v>525</v>
      </c>
      <c r="E28" s="337" t="s">
        <v>2311</v>
      </c>
      <c r="F28" s="5"/>
      <c r="G28" s="5"/>
      <c r="H28" s="5"/>
      <c r="I28" s="5"/>
      <c r="J28" s="5"/>
      <c r="K28" s="5"/>
    </row>
    <row r="29" spans="2:11" ht="36.75" thickBot="1" x14ac:dyDescent="0.3">
      <c r="B29" s="975"/>
      <c r="C29" s="94"/>
      <c r="D29" s="40" t="s">
        <v>677</v>
      </c>
      <c r="E29" s="337" t="s">
        <v>2303</v>
      </c>
      <c r="F29" s="5"/>
      <c r="G29" s="5"/>
      <c r="H29" s="5"/>
      <c r="I29" s="5"/>
      <c r="J29" s="5"/>
      <c r="K29" s="5"/>
    </row>
    <row r="30" spans="2:11" ht="15.75" thickBot="1" x14ac:dyDescent="0.3">
      <c r="B30" s="975"/>
      <c r="C30" s="94"/>
      <c r="D30" s="40" t="s">
        <v>527</v>
      </c>
      <c r="E30" s="337" t="s">
        <v>2304</v>
      </c>
      <c r="F30" s="5"/>
      <c r="G30" s="5"/>
      <c r="H30" s="5"/>
      <c r="I30" s="5"/>
      <c r="J30" s="5"/>
      <c r="K30" s="5"/>
    </row>
    <row r="31" spans="2:11" ht="60.75" thickBot="1" x14ac:dyDescent="0.3">
      <c r="B31" s="975"/>
      <c r="C31" s="94"/>
      <c r="D31" s="40" t="s">
        <v>529</v>
      </c>
      <c r="E31" s="766" t="s">
        <v>2309</v>
      </c>
      <c r="F31" s="5"/>
      <c r="G31" s="5"/>
      <c r="H31" s="5"/>
      <c r="I31" s="5"/>
      <c r="J31" s="5"/>
      <c r="K31" s="5"/>
    </row>
    <row r="32" spans="2:11" ht="15.75" thickBot="1" x14ac:dyDescent="0.3">
      <c r="B32" s="975"/>
      <c r="C32" s="94"/>
      <c r="D32" s="40" t="s">
        <v>531</v>
      </c>
      <c r="E32" s="337">
        <v>5748960</v>
      </c>
      <c r="F32" s="5"/>
      <c r="G32" s="5"/>
      <c r="H32" s="5"/>
      <c r="I32" s="5"/>
      <c r="J32" s="5"/>
      <c r="K32" s="5"/>
    </row>
    <row r="33" spans="2:11" ht="60.75" thickBot="1" x14ac:dyDescent="0.3">
      <c r="B33" s="976"/>
      <c r="C33" s="2"/>
      <c r="D33" s="40" t="s">
        <v>678</v>
      </c>
      <c r="E33" s="337" t="s">
        <v>2312</v>
      </c>
      <c r="F33" s="5"/>
      <c r="G33" s="5"/>
      <c r="H33" s="5"/>
      <c r="I33" s="5"/>
      <c r="J33" s="5"/>
      <c r="K33" s="5"/>
    </row>
    <row r="34" spans="2:11" ht="15.75" thickBot="1" x14ac:dyDescent="0.3">
      <c r="B34" s="1"/>
      <c r="C34" s="76"/>
      <c r="D34" s="5"/>
      <c r="E34" s="5"/>
      <c r="F34" s="5"/>
      <c r="G34" s="5"/>
      <c r="H34" s="5"/>
      <c r="I34" s="5"/>
      <c r="J34" s="5"/>
      <c r="K34" s="5"/>
    </row>
    <row r="35" spans="2:11" ht="15.75" thickBot="1" x14ac:dyDescent="0.3">
      <c r="B35" s="971" t="s">
        <v>679</v>
      </c>
      <c r="C35" s="972"/>
      <c r="D35" s="972"/>
      <c r="E35" s="973"/>
      <c r="F35" s="5"/>
      <c r="G35" s="5"/>
      <c r="H35" s="5"/>
      <c r="I35" s="5"/>
      <c r="J35" s="5"/>
      <c r="K35" s="5"/>
    </row>
    <row r="36" spans="2:11" ht="15.75" thickBot="1" x14ac:dyDescent="0.3">
      <c r="B36" s="974">
        <v>1</v>
      </c>
      <c r="C36" s="94"/>
      <c r="D36" s="48" t="s">
        <v>676</v>
      </c>
      <c r="E36" s="219" t="s">
        <v>680</v>
      </c>
      <c r="F36" s="5"/>
      <c r="G36" s="5"/>
      <c r="H36" s="5"/>
      <c r="I36" s="5"/>
      <c r="J36" s="5"/>
      <c r="K36" s="5"/>
    </row>
    <row r="37" spans="2:11" ht="15.75" thickBot="1" x14ac:dyDescent="0.3">
      <c r="B37" s="975"/>
      <c r="C37" s="94"/>
      <c r="D37" s="40" t="s">
        <v>525</v>
      </c>
      <c r="E37" s="219" t="s">
        <v>773</v>
      </c>
      <c r="F37" s="5"/>
      <c r="G37" s="5"/>
      <c r="H37" s="5"/>
      <c r="I37" s="5"/>
      <c r="J37" s="5"/>
      <c r="K37" s="5"/>
    </row>
    <row r="38" spans="2:11" ht="15.75" thickBot="1" x14ac:dyDescent="0.3">
      <c r="B38" s="975"/>
      <c r="C38" s="94"/>
      <c r="D38" s="40" t="s">
        <v>677</v>
      </c>
      <c r="E38" s="239"/>
      <c r="F38" s="5"/>
      <c r="G38" s="5"/>
      <c r="H38" s="5"/>
      <c r="I38" s="5"/>
      <c r="J38" s="5"/>
      <c r="K38" s="5"/>
    </row>
    <row r="39" spans="2:11" ht="15.75" thickBot="1" x14ac:dyDescent="0.3">
      <c r="B39" s="975"/>
      <c r="C39" s="94"/>
      <c r="D39" s="40" t="s">
        <v>527</v>
      </c>
      <c r="E39" s="239"/>
      <c r="F39" s="5"/>
      <c r="G39" s="5"/>
      <c r="H39" s="5"/>
      <c r="I39" s="5"/>
      <c r="J39" s="5"/>
      <c r="K39" s="5"/>
    </row>
    <row r="40" spans="2:11" ht="15.75" thickBot="1" x14ac:dyDescent="0.3">
      <c r="B40" s="975"/>
      <c r="C40" s="94"/>
      <c r="D40" s="40" t="s">
        <v>529</v>
      </c>
      <c r="E40" s="239"/>
      <c r="F40" s="5"/>
      <c r="G40" s="5"/>
      <c r="H40" s="5"/>
      <c r="I40" s="5"/>
      <c r="J40" s="5"/>
      <c r="K40" s="5"/>
    </row>
    <row r="41" spans="2:11" ht="15.75" thickBot="1" x14ac:dyDescent="0.3">
      <c r="B41" s="975"/>
      <c r="C41" s="94"/>
      <c r="D41" s="40" t="s">
        <v>531</v>
      </c>
      <c r="E41" s="239"/>
      <c r="F41" s="5"/>
      <c r="G41" s="5"/>
      <c r="H41" s="5"/>
      <c r="I41" s="5"/>
      <c r="J41" s="5"/>
      <c r="K41" s="5"/>
    </row>
    <row r="42" spans="2:11" ht="15.75" thickBot="1" x14ac:dyDescent="0.3">
      <c r="B42" s="976"/>
      <c r="C42" s="2"/>
      <c r="D42" s="40" t="s">
        <v>678</v>
      </c>
      <c r="E42" s="239"/>
      <c r="F42" s="5"/>
      <c r="G42" s="5"/>
      <c r="H42" s="5"/>
      <c r="I42" s="5"/>
      <c r="J42" s="5"/>
      <c r="K42" s="5"/>
    </row>
    <row r="43" spans="2:11" ht="15.75" thickBot="1" x14ac:dyDescent="0.3">
      <c r="B43" s="37"/>
      <c r="C43" s="88"/>
      <c r="D43" s="5"/>
      <c r="E43" s="5"/>
      <c r="F43" s="5"/>
      <c r="G43" s="5"/>
      <c r="H43" s="5"/>
      <c r="I43" s="5"/>
      <c r="J43" s="5"/>
      <c r="K43" s="5"/>
    </row>
    <row r="44" spans="2:11" ht="15" customHeight="1" thickBot="1" x14ac:dyDescent="0.3">
      <c r="B44" s="119" t="s">
        <v>682</v>
      </c>
      <c r="C44" s="120"/>
      <c r="D44" s="120"/>
      <c r="E44" s="121"/>
      <c r="G44" s="5"/>
      <c r="H44" s="5"/>
      <c r="I44" s="5"/>
      <c r="J44" s="5"/>
      <c r="K44" s="5"/>
    </row>
    <row r="45" spans="2:11" ht="24.75" thickBot="1" x14ac:dyDescent="0.3">
      <c r="B45" s="47" t="s">
        <v>683</v>
      </c>
      <c r="C45" s="40" t="s">
        <v>684</v>
      </c>
      <c r="D45" s="40" t="s">
        <v>685</v>
      </c>
      <c r="E45" s="40" t="s">
        <v>686</v>
      </c>
      <c r="F45" s="5"/>
      <c r="G45" s="5"/>
      <c r="H45" s="5"/>
      <c r="I45" s="5"/>
      <c r="J45" s="5"/>
    </row>
    <row r="46" spans="2:11" ht="72.75" thickBot="1" x14ac:dyDescent="0.3">
      <c r="B46" s="49">
        <v>42401</v>
      </c>
      <c r="C46" s="40">
        <v>0.01</v>
      </c>
      <c r="D46" s="50" t="s">
        <v>1305</v>
      </c>
      <c r="E46" s="40"/>
      <c r="F46" s="5"/>
      <c r="G46" s="5"/>
      <c r="H46" s="5"/>
      <c r="I46" s="5"/>
      <c r="J46" s="5"/>
    </row>
    <row r="47" spans="2:11" ht="15.75" thickBot="1" x14ac:dyDescent="0.3">
      <c r="B47" s="3"/>
      <c r="C47" s="95"/>
      <c r="D47" s="5"/>
      <c r="E47" s="5"/>
      <c r="F47" s="5"/>
      <c r="G47" s="5"/>
      <c r="H47" s="5"/>
      <c r="I47" s="5"/>
      <c r="J47" s="5"/>
      <c r="K47" s="5"/>
    </row>
    <row r="48" spans="2:11" ht="15.75" thickBot="1" x14ac:dyDescent="0.3">
      <c r="B48" s="129" t="s">
        <v>593</v>
      </c>
      <c r="C48" s="96"/>
      <c r="D48" s="5"/>
      <c r="E48" s="5"/>
      <c r="F48" s="5"/>
      <c r="G48" s="5"/>
      <c r="H48" s="5"/>
      <c r="I48" s="5"/>
      <c r="J48" s="5"/>
      <c r="K48" s="5"/>
    </row>
    <row r="49" spans="2:11" x14ac:dyDescent="0.25">
      <c r="B49" s="1110"/>
      <c r="C49" s="1111"/>
      <c r="D49" s="1111"/>
      <c r="E49" s="1112"/>
      <c r="F49" s="5"/>
      <c r="G49" s="5"/>
      <c r="H49" s="5"/>
      <c r="I49" s="5"/>
      <c r="J49" s="5"/>
      <c r="K49" s="5"/>
    </row>
    <row r="50" spans="2:11" ht="15.75" thickBot="1" x14ac:dyDescent="0.3">
      <c r="B50" s="1113"/>
      <c r="C50" s="1114"/>
      <c r="D50" s="1114"/>
      <c r="E50" s="1115"/>
      <c r="F50" s="5"/>
      <c r="G50" s="5"/>
      <c r="H50" s="5"/>
      <c r="I50" s="5"/>
      <c r="J50" s="5"/>
      <c r="K50" s="5"/>
    </row>
    <row r="51" spans="2:11" ht="15.75" thickBot="1" x14ac:dyDescent="0.3">
      <c r="B51" s="5"/>
      <c r="D51" s="5"/>
      <c r="E51" s="5"/>
      <c r="F51" s="5"/>
      <c r="G51" s="5"/>
      <c r="H51" s="5"/>
      <c r="I51" s="5"/>
      <c r="J51" s="5"/>
      <c r="K51" s="5"/>
    </row>
    <row r="52" spans="2:11" ht="24.75" thickBot="1" x14ac:dyDescent="0.3">
      <c r="B52" s="51" t="s">
        <v>688</v>
      </c>
      <c r="C52" s="97"/>
      <c r="D52" s="5"/>
      <c r="E52" s="5"/>
      <c r="F52" s="5"/>
      <c r="G52" s="5"/>
      <c r="H52" s="5"/>
      <c r="I52" s="5"/>
      <c r="J52" s="5"/>
      <c r="K52" s="5"/>
    </row>
    <row r="53" spans="2:11" ht="15.75" thickBot="1" x14ac:dyDescent="0.3">
      <c r="B53" s="1"/>
      <c r="C53" s="76"/>
      <c r="D53" s="5"/>
      <c r="E53" s="5"/>
      <c r="F53" s="5"/>
      <c r="G53" s="5"/>
      <c r="H53" s="5"/>
      <c r="I53" s="5"/>
      <c r="J53" s="5"/>
      <c r="K53" s="5"/>
    </row>
    <row r="54" spans="2:11" ht="84.75" thickBot="1" x14ac:dyDescent="0.3">
      <c r="B54" s="52" t="s">
        <v>689</v>
      </c>
      <c r="C54" s="98"/>
      <c r="D54" s="43" t="s">
        <v>1306</v>
      </c>
      <c r="E54" s="5"/>
      <c r="F54" s="5"/>
      <c r="G54" s="5"/>
      <c r="H54" s="5"/>
      <c r="I54" s="5"/>
      <c r="J54" s="5"/>
      <c r="K54" s="5"/>
    </row>
    <row r="55" spans="2:11" x14ac:dyDescent="0.25">
      <c r="B55" s="974" t="s">
        <v>691</v>
      </c>
      <c r="C55" s="94"/>
      <c r="D55" s="53" t="s">
        <v>692</v>
      </c>
      <c r="E55" s="5"/>
      <c r="F55" s="5"/>
      <c r="G55" s="5"/>
      <c r="H55" s="5"/>
      <c r="I55" s="5"/>
      <c r="J55" s="5"/>
      <c r="K55" s="5"/>
    </row>
    <row r="56" spans="2:11" ht="84" x14ac:dyDescent="0.25">
      <c r="B56" s="975"/>
      <c r="C56" s="94"/>
      <c r="D56" s="46" t="s">
        <v>1307</v>
      </c>
      <c r="E56" s="5"/>
      <c r="F56" s="5"/>
      <c r="G56" s="5"/>
      <c r="H56" s="5"/>
      <c r="I56" s="5"/>
      <c r="J56" s="5"/>
      <c r="K56" s="5"/>
    </row>
    <row r="57" spans="2:11" x14ac:dyDescent="0.25">
      <c r="B57" s="975"/>
      <c r="C57" s="94"/>
      <c r="D57" s="53" t="s">
        <v>777</v>
      </c>
      <c r="E57" s="5"/>
      <c r="F57" s="5"/>
      <c r="G57" s="5"/>
      <c r="H57" s="5"/>
      <c r="I57" s="5"/>
      <c r="J57" s="5"/>
      <c r="K57" s="5"/>
    </row>
    <row r="58" spans="2:11" x14ac:dyDescent="0.25">
      <c r="B58" s="975"/>
      <c r="C58" s="94"/>
      <c r="D58" s="46" t="s">
        <v>696</v>
      </c>
      <c r="E58" s="5"/>
      <c r="F58" s="5"/>
      <c r="G58" s="5"/>
      <c r="H58" s="5"/>
      <c r="I58" s="5"/>
      <c r="J58" s="5"/>
      <c r="K58" s="5"/>
    </row>
    <row r="59" spans="2:11" ht="36" x14ac:dyDescent="0.25">
      <c r="B59" s="975"/>
      <c r="C59" s="94"/>
      <c r="D59" s="46" t="s">
        <v>1308</v>
      </c>
      <c r="E59" s="5"/>
      <c r="F59" s="5"/>
      <c r="G59" s="5"/>
      <c r="H59" s="5"/>
      <c r="I59" s="5"/>
      <c r="J59" s="5"/>
      <c r="K59" s="5"/>
    </row>
    <row r="60" spans="2:11" ht="24" x14ac:dyDescent="0.25">
      <c r="B60" s="975"/>
      <c r="C60" s="94"/>
      <c r="D60" s="46" t="s">
        <v>1309</v>
      </c>
      <c r="E60" s="5"/>
      <c r="F60" s="5"/>
      <c r="G60" s="5"/>
      <c r="H60" s="5"/>
      <c r="I60" s="5"/>
      <c r="J60" s="5"/>
      <c r="K60" s="5"/>
    </row>
    <row r="61" spans="2:11" x14ac:dyDescent="0.25">
      <c r="B61" s="975"/>
      <c r="C61" s="94"/>
      <c r="D61" s="46" t="s">
        <v>1310</v>
      </c>
      <c r="E61" s="5"/>
      <c r="F61" s="5"/>
      <c r="G61" s="5"/>
      <c r="H61" s="5"/>
      <c r="I61" s="5"/>
      <c r="J61" s="5"/>
      <c r="K61" s="5"/>
    </row>
    <row r="62" spans="2:11" x14ac:dyDescent="0.25">
      <c r="B62" s="975"/>
      <c r="C62" s="94"/>
      <c r="D62" s="53" t="s">
        <v>784</v>
      </c>
      <c r="E62" s="5"/>
      <c r="F62" s="5"/>
      <c r="G62" s="5"/>
      <c r="H62" s="5"/>
      <c r="I62" s="5"/>
      <c r="J62" s="5"/>
      <c r="K62" s="5"/>
    </row>
    <row r="63" spans="2:11" ht="60.75" thickBot="1" x14ac:dyDescent="0.3">
      <c r="B63" s="976"/>
      <c r="C63" s="2"/>
      <c r="D63" s="40" t="s">
        <v>1311</v>
      </c>
      <c r="E63" s="5"/>
      <c r="F63" s="5"/>
      <c r="G63" s="5"/>
      <c r="H63" s="5"/>
      <c r="I63" s="5"/>
      <c r="J63" s="5"/>
      <c r="K63" s="5"/>
    </row>
    <row r="64" spans="2:11" ht="24.75" thickBot="1" x14ac:dyDescent="0.3">
      <c r="B64" s="47" t="s">
        <v>704</v>
      </c>
      <c r="C64" s="2"/>
      <c r="D64" s="40"/>
      <c r="E64" s="5"/>
      <c r="F64" s="5"/>
      <c r="G64" s="5"/>
      <c r="H64" s="5"/>
      <c r="I64" s="5"/>
      <c r="J64" s="5"/>
      <c r="K64" s="5"/>
    </row>
    <row r="65" spans="2:11" ht="276" x14ac:dyDescent="0.25">
      <c r="B65" s="974" t="s">
        <v>705</v>
      </c>
      <c r="C65" s="94"/>
      <c r="D65" s="46" t="s">
        <v>1312</v>
      </c>
      <c r="E65" s="5"/>
      <c r="F65" s="5"/>
      <c r="G65" s="5"/>
      <c r="H65" s="5"/>
      <c r="I65" s="5"/>
      <c r="J65" s="5"/>
      <c r="K65" s="5"/>
    </row>
    <row r="66" spans="2:11" ht="132" x14ac:dyDescent="0.25">
      <c r="B66" s="975"/>
      <c r="C66" s="94"/>
      <c r="D66" s="46" t="s">
        <v>1313</v>
      </c>
      <c r="E66" s="5"/>
      <c r="F66" s="5"/>
      <c r="G66" s="5"/>
      <c r="H66" s="5"/>
      <c r="I66" s="5"/>
      <c r="J66" s="5"/>
      <c r="K66" s="5"/>
    </row>
    <row r="67" spans="2:11" ht="72.75" thickBot="1" x14ac:dyDescent="0.3">
      <c r="B67" s="976"/>
      <c r="C67" s="2"/>
      <c r="D67" s="40" t="s">
        <v>1314</v>
      </c>
      <c r="E67" s="5"/>
      <c r="F67" s="5"/>
      <c r="G67" s="5"/>
      <c r="H67" s="5"/>
      <c r="I67" s="5"/>
      <c r="J67" s="5"/>
      <c r="K67" s="5"/>
    </row>
    <row r="68" spans="2:11" x14ac:dyDescent="0.25">
      <c r="B68" s="974" t="s">
        <v>722</v>
      </c>
      <c r="C68" s="94"/>
      <c r="D68" s="46"/>
      <c r="E68" s="5"/>
      <c r="F68" s="5"/>
      <c r="G68" s="5"/>
      <c r="H68" s="5"/>
      <c r="I68" s="5"/>
      <c r="J68" s="5"/>
      <c r="K68" s="5"/>
    </row>
    <row r="69" spans="2:11" x14ac:dyDescent="0.25">
      <c r="B69" s="975"/>
      <c r="C69" s="94"/>
      <c r="D69" s="16"/>
      <c r="E69" s="5"/>
      <c r="F69" s="5"/>
      <c r="G69" s="5"/>
      <c r="H69" s="5"/>
      <c r="I69" s="5"/>
      <c r="J69" s="5"/>
      <c r="K69" s="5"/>
    </row>
    <row r="70" spans="2:11" x14ac:dyDescent="0.25">
      <c r="B70" s="975"/>
      <c r="C70" s="94"/>
      <c r="D70" s="46" t="s">
        <v>723</v>
      </c>
      <c r="E70" s="5"/>
      <c r="F70" s="5"/>
      <c r="G70" s="5"/>
      <c r="H70" s="5"/>
      <c r="I70" s="5"/>
      <c r="J70" s="5"/>
      <c r="K70" s="5"/>
    </row>
    <row r="71" spans="2:11" ht="61.5" x14ac:dyDescent="0.25">
      <c r="B71" s="975"/>
      <c r="C71" s="94"/>
      <c r="D71" s="46" t="s">
        <v>1315</v>
      </c>
      <c r="E71" s="5"/>
      <c r="F71" s="5"/>
      <c r="G71" s="5"/>
      <c r="H71" s="5"/>
      <c r="I71" s="5"/>
      <c r="J71" s="5"/>
      <c r="K71" s="5"/>
    </row>
    <row r="72" spans="2:11" ht="49.5" x14ac:dyDescent="0.25">
      <c r="B72" s="975"/>
      <c r="C72" s="94"/>
      <c r="D72" s="46" t="s">
        <v>1316</v>
      </c>
      <c r="E72" s="5"/>
      <c r="F72" s="5"/>
      <c r="G72" s="5"/>
      <c r="H72" s="5"/>
      <c r="I72" s="5"/>
      <c r="J72" s="5"/>
      <c r="K72" s="5"/>
    </row>
    <row r="73" spans="2:11" ht="49.5" x14ac:dyDescent="0.25">
      <c r="B73" s="975"/>
      <c r="C73" s="94"/>
      <c r="D73" s="46" t="s">
        <v>1317</v>
      </c>
      <c r="E73" s="5"/>
      <c r="F73" s="5"/>
      <c r="G73" s="5"/>
      <c r="H73" s="5"/>
      <c r="I73" s="5"/>
      <c r="J73" s="5"/>
      <c r="K73" s="5"/>
    </row>
    <row r="74" spans="2:11" ht="72.75" thickBot="1" x14ac:dyDescent="0.3">
      <c r="B74" s="976"/>
      <c r="C74" s="2"/>
      <c r="D74" s="40" t="s">
        <v>1318</v>
      </c>
      <c r="E74" s="5"/>
      <c r="F74" s="5"/>
      <c r="G74" s="5"/>
      <c r="H74" s="5"/>
      <c r="I74" s="5"/>
      <c r="J74" s="5"/>
      <c r="K74" s="5"/>
    </row>
    <row r="75" spans="2:11" x14ac:dyDescent="0.25">
      <c r="B75" s="5"/>
      <c r="D75" s="5"/>
      <c r="E75" s="5"/>
      <c r="F75" s="5"/>
      <c r="G75" s="5"/>
      <c r="H75" s="5"/>
      <c r="I75" s="5"/>
      <c r="J75" s="5"/>
      <c r="K75" s="5"/>
    </row>
    <row r="76" spans="2:11" x14ac:dyDescent="0.25">
      <c r="B76" s="5"/>
      <c r="D76" s="5"/>
      <c r="E76" s="5"/>
      <c r="F76" s="5"/>
      <c r="G76" s="5"/>
      <c r="H76" s="5"/>
      <c r="I76" s="5"/>
      <c r="J76" s="5"/>
      <c r="K76" s="5"/>
    </row>
    <row r="77" spans="2:11" x14ac:dyDescent="0.25">
      <c r="B77" s="5"/>
      <c r="D77" s="5"/>
      <c r="E77" s="5"/>
      <c r="F77" s="5"/>
      <c r="G77" s="5"/>
      <c r="H77" s="5"/>
      <c r="I77" s="5"/>
      <c r="J77" s="5"/>
      <c r="K77" s="5"/>
    </row>
    <row r="78" spans="2:11" x14ac:dyDescent="0.25">
      <c r="B78" s="5"/>
      <c r="D78" s="5"/>
      <c r="E78" s="5"/>
      <c r="F78" s="5"/>
      <c r="G78" s="5"/>
      <c r="H78" s="5"/>
      <c r="I78" s="5"/>
      <c r="J78" s="5"/>
      <c r="K78" s="5"/>
    </row>
    <row r="79" spans="2:11" x14ac:dyDescent="0.25">
      <c r="B79" s="5"/>
      <c r="D79" s="5"/>
      <c r="E79" s="5"/>
      <c r="F79" s="5"/>
      <c r="G79" s="5"/>
      <c r="H79" s="5"/>
      <c r="I79" s="5"/>
      <c r="J79" s="5"/>
      <c r="K79" s="5"/>
    </row>
    <row r="80" spans="2:11" x14ac:dyDescent="0.25">
      <c r="B80" s="5"/>
      <c r="D80" s="5"/>
      <c r="E80" s="5"/>
      <c r="F80" s="5"/>
      <c r="G80" s="5"/>
      <c r="H80" s="5"/>
      <c r="I80" s="5"/>
      <c r="J80" s="5"/>
      <c r="K80" s="5"/>
    </row>
    <row r="81" spans="2:11" x14ac:dyDescent="0.25">
      <c r="B81" s="5"/>
      <c r="D81" s="5"/>
      <c r="E81" s="5"/>
      <c r="F81" s="5"/>
      <c r="G81" s="5"/>
      <c r="H81" s="5"/>
      <c r="I81" s="5"/>
      <c r="J81" s="5"/>
      <c r="K81" s="5"/>
    </row>
    <row r="82" spans="2:11" x14ac:dyDescent="0.25">
      <c r="B82" s="5"/>
      <c r="D82" s="5"/>
      <c r="E82" s="5"/>
      <c r="F82" s="5"/>
      <c r="G82" s="5"/>
      <c r="H82" s="5"/>
      <c r="I82" s="5"/>
      <c r="J82" s="5"/>
      <c r="K82" s="5"/>
    </row>
    <row r="83" spans="2:11" x14ac:dyDescent="0.25">
      <c r="B83" s="5"/>
      <c r="D83" s="5"/>
      <c r="E83" s="5"/>
      <c r="F83" s="5"/>
      <c r="G83" s="5"/>
      <c r="H83" s="5"/>
      <c r="I83" s="5"/>
      <c r="J83" s="5"/>
      <c r="K83" s="5"/>
    </row>
    <row r="84" spans="2:11" x14ac:dyDescent="0.25">
      <c r="B84" s="5"/>
      <c r="D84" s="5"/>
      <c r="E84" s="5"/>
      <c r="F84" s="5"/>
      <c r="G84" s="5"/>
      <c r="H84" s="5"/>
      <c r="I84" s="5"/>
      <c r="J84" s="5"/>
      <c r="K84" s="5"/>
    </row>
    <row r="85" spans="2:11" x14ac:dyDescent="0.25">
      <c r="B85" s="5"/>
      <c r="D85" s="5"/>
      <c r="E85" s="5"/>
      <c r="F85" s="5"/>
      <c r="G85" s="5"/>
      <c r="H85" s="5"/>
      <c r="I85" s="5"/>
      <c r="J85" s="5"/>
      <c r="K85" s="5"/>
    </row>
    <row r="86" spans="2:11" x14ac:dyDescent="0.25">
      <c r="B86" s="5"/>
      <c r="D86" s="5"/>
      <c r="E86" s="5"/>
      <c r="F86" s="5"/>
      <c r="G86" s="5"/>
      <c r="H86" s="5"/>
      <c r="I86" s="5"/>
      <c r="J86" s="5"/>
      <c r="K86" s="5"/>
    </row>
    <row r="87" spans="2:11" x14ac:dyDescent="0.25">
      <c r="B87" s="5"/>
      <c r="D87" s="5"/>
      <c r="E87" s="5"/>
      <c r="F87" s="5"/>
      <c r="G87" s="5"/>
      <c r="H87" s="5"/>
      <c r="I87" s="5"/>
      <c r="J87" s="5"/>
      <c r="K87" s="5"/>
    </row>
    <row r="88" spans="2:11" x14ac:dyDescent="0.25">
      <c r="B88" s="5"/>
      <c r="D88" s="5"/>
      <c r="E88" s="5"/>
      <c r="F88" s="5"/>
      <c r="G88" s="5"/>
      <c r="H88" s="5"/>
      <c r="I88" s="5"/>
      <c r="J88" s="5"/>
      <c r="K88" s="5"/>
    </row>
    <row r="89" spans="2:11" x14ac:dyDescent="0.25">
      <c r="B89" s="5"/>
      <c r="D89" s="5"/>
      <c r="E89" s="5"/>
      <c r="F89" s="5"/>
      <c r="G89" s="5"/>
      <c r="H89" s="5"/>
      <c r="I89" s="5"/>
      <c r="J89" s="5"/>
      <c r="K89" s="5"/>
    </row>
    <row r="90" spans="2:11" x14ac:dyDescent="0.25">
      <c r="B90" s="5"/>
      <c r="D90" s="5"/>
      <c r="E90" s="5"/>
      <c r="F90" s="5"/>
      <c r="G90" s="5"/>
      <c r="H90" s="5"/>
      <c r="I90" s="5"/>
      <c r="J90" s="5"/>
      <c r="K90" s="5"/>
    </row>
    <row r="91" spans="2:11" x14ac:dyDescent="0.25">
      <c r="B91" s="5"/>
      <c r="D91" s="5"/>
      <c r="E91" s="5"/>
      <c r="F91" s="5"/>
      <c r="G91" s="5"/>
      <c r="H91" s="5"/>
      <c r="I91" s="5"/>
      <c r="J91" s="5"/>
      <c r="K91" s="5"/>
    </row>
    <row r="92" spans="2:11" x14ac:dyDescent="0.25">
      <c r="B92" s="5"/>
      <c r="D92" s="5"/>
      <c r="E92" s="5"/>
      <c r="F92" s="5"/>
      <c r="G92" s="5"/>
      <c r="H92" s="5"/>
      <c r="I92" s="5"/>
      <c r="J92" s="5"/>
      <c r="K92" s="5"/>
    </row>
    <row r="93" spans="2:11" x14ac:dyDescent="0.25">
      <c r="B93" s="5"/>
      <c r="D93" s="5"/>
      <c r="E93" s="5"/>
      <c r="F93" s="5"/>
      <c r="G93" s="5"/>
      <c r="H93" s="5"/>
      <c r="I93" s="5"/>
      <c r="J93" s="5"/>
      <c r="K93" s="5"/>
    </row>
    <row r="94" spans="2:11" x14ac:dyDescent="0.25">
      <c r="B94" s="5"/>
      <c r="D94" s="5"/>
      <c r="E94" s="5"/>
      <c r="F94" s="5"/>
      <c r="G94" s="5"/>
      <c r="H94" s="5"/>
      <c r="I94" s="5"/>
      <c r="J94" s="5"/>
      <c r="K94" s="5"/>
    </row>
    <row r="95" spans="2:11" x14ac:dyDescent="0.25">
      <c r="B95" s="5"/>
      <c r="D95" s="5"/>
      <c r="E95" s="5"/>
      <c r="F95" s="5"/>
      <c r="G95" s="5"/>
      <c r="H95" s="5"/>
      <c r="I95" s="5"/>
      <c r="J95" s="5"/>
      <c r="K95" s="5"/>
    </row>
    <row r="96" spans="2:11" x14ac:dyDescent="0.25">
      <c r="B96" s="5"/>
      <c r="D96" s="5"/>
      <c r="E96" s="5"/>
      <c r="F96" s="5"/>
      <c r="G96" s="5"/>
      <c r="H96" s="5"/>
      <c r="I96" s="5"/>
      <c r="J96" s="5"/>
      <c r="K96" s="5"/>
    </row>
    <row r="97" spans="2:11" x14ac:dyDescent="0.25">
      <c r="B97" s="5"/>
      <c r="D97" s="5"/>
      <c r="E97" s="5"/>
      <c r="F97" s="5"/>
      <c r="G97" s="5"/>
      <c r="H97" s="5"/>
      <c r="I97" s="5"/>
      <c r="J97" s="5"/>
      <c r="K97" s="5"/>
    </row>
    <row r="98" spans="2:11" x14ac:dyDescent="0.25">
      <c r="B98" s="5"/>
      <c r="D98" s="5"/>
      <c r="E98" s="5"/>
      <c r="F98" s="5"/>
      <c r="G98" s="5"/>
      <c r="H98" s="5"/>
      <c r="I98" s="5"/>
      <c r="J98" s="5"/>
      <c r="K98" s="5"/>
    </row>
    <row r="99" spans="2:11" x14ac:dyDescent="0.25">
      <c r="B99" s="5"/>
      <c r="D99" s="5"/>
      <c r="E99" s="5"/>
      <c r="F99" s="5"/>
      <c r="G99" s="5"/>
      <c r="H99" s="5"/>
      <c r="I99" s="5"/>
      <c r="J99" s="5"/>
      <c r="K99" s="5"/>
    </row>
    <row r="100" spans="2:11" x14ac:dyDescent="0.25">
      <c r="B100" s="5"/>
      <c r="D100" s="5"/>
      <c r="E100" s="5"/>
      <c r="F100" s="5"/>
      <c r="G100" s="5"/>
      <c r="H100" s="5"/>
      <c r="I100" s="5"/>
      <c r="J100" s="5"/>
      <c r="K100" s="5"/>
    </row>
    <row r="101" spans="2:11" x14ac:dyDescent="0.25">
      <c r="B101" s="5"/>
      <c r="D101" s="5"/>
      <c r="E101" s="5"/>
      <c r="F101" s="5"/>
      <c r="G101" s="5"/>
      <c r="H101" s="5"/>
      <c r="I101" s="5"/>
      <c r="J101" s="5"/>
      <c r="K101" s="5"/>
    </row>
    <row r="102" spans="2:11" x14ac:dyDescent="0.25">
      <c r="B102" s="5"/>
      <c r="D102" s="5"/>
      <c r="E102" s="5"/>
      <c r="F102" s="5"/>
      <c r="G102" s="5"/>
      <c r="H102" s="5"/>
      <c r="I102" s="5"/>
      <c r="J102" s="5"/>
      <c r="K102" s="5"/>
    </row>
    <row r="103" spans="2:11" x14ac:dyDescent="0.25">
      <c r="B103" s="5"/>
      <c r="D103" s="5"/>
      <c r="E103" s="5"/>
      <c r="F103" s="5"/>
      <c r="G103" s="5"/>
      <c r="H103" s="5"/>
      <c r="I103" s="5"/>
      <c r="J103" s="5"/>
      <c r="K103" s="5"/>
    </row>
    <row r="104" spans="2:11" x14ac:dyDescent="0.25">
      <c r="B104" s="5"/>
      <c r="D104" s="5"/>
      <c r="E104" s="5"/>
      <c r="F104" s="5"/>
      <c r="G104" s="5"/>
      <c r="H104" s="5"/>
      <c r="I104" s="5"/>
      <c r="J104" s="5"/>
      <c r="K104" s="5"/>
    </row>
    <row r="105" spans="2:11" x14ac:dyDescent="0.25">
      <c r="B105" s="5"/>
      <c r="D105" s="5"/>
      <c r="E105" s="5"/>
      <c r="F105" s="5"/>
      <c r="G105" s="5"/>
      <c r="H105" s="5"/>
      <c r="I105" s="5"/>
      <c r="J105" s="5"/>
      <c r="K105" s="5"/>
    </row>
    <row r="106" spans="2:11" x14ac:dyDescent="0.25">
      <c r="B106" s="5"/>
      <c r="D106" s="5"/>
      <c r="E106" s="5"/>
      <c r="F106" s="5"/>
      <c r="G106" s="5"/>
      <c r="H106" s="5"/>
      <c r="I106" s="5"/>
      <c r="J106" s="5"/>
      <c r="K106" s="5"/>
    </row>
    <row r="107" spans="2:11" x14ac:dyDescent="0.25">
      <c r="B107" s="5"/>
      <c r="D107" s="5"/>
      <c r="E107" s="5"/>
      <c r="F107" s="5"/>
      <c r="G107" s="5"/>
      <c r="H107" s="5"/>
      <c r="I107" s="5"/>
      <c r="J107" s="5"/>
      <c r="K107" s="5"/>
    </row>
    <row r="108" spans="2:11" x14ac:dyDescent="0.25">
      <c r="B108" s="5"/>
      <c r="D108" s="5"/>
      <c r="E108" s="5"/>
      <c r="F108" s="5"/>
      <c r="G108" s="5"/>
      <c r="H108" s="5"/>
      <c r="I108" s="5"/>
      <c r="J108" s="5"/>
      <c r="K108" s="5"/>
    </row>
    <row r="109" spans="2:11" x14ac:dyDescent="0.25">
      <c r="B109" s="5"/>
      <c r="D109" s="5"/>
      <c r="E109" s="5"/>
      <c r="F109" s="5"/>
      <c r="G109" s="5"/>
      <c r="H109" s="5"/>
      <c r="I109" s="5"/>
      <c r="J109" s="5"/>
      <c r="K109" s="5"/>
    </row>
    <row r="110" spans="2:11" x14ac:dyDescent="0.25">
      <c r="B110" s="5"/>
      <c r="D110" s="5"/>
      <c r="E110" s="5"/>
      <c r="F110" s="5"/>
      <c r="G110" s="5"/>
      <c r="H110" s="5"/>
      <c r="I110" s="5"/>
      <c r="J110" s="5"/>
      <c r="K110" s="5"/>
    </row>
    <row r="111" spans="2:11" x14ac:dyDescent="0.25">
      <c r="B111" s="5"/>
      <c r="D111" s="5"/>
      <c r="E111" s="5"/>
      <c r="F111" s="5"/>
      <c r="G111" s="5"/>
      <c r="H111" s="5"/>
      <c r="I111" s="5"/>
      <c r="J111" s="5"/>
      <c r="K111" s="5"/>
    </row>
    <row r="112" spans="2:11" x14ac:dyDescent="0.25">
      <c r="B112" s="5"/>
      <c r="D112" s="5"/>
      <c r="E112" s="5"/>
      <c r="F112" s="5"/>
      <c r="G112" s="5"/>
      <c r="H112" s="5"/>
      <c r="I112" s="5"/>
      <c r="J112" s="5"/>
      <c r="K112" s="5"/>
    </row>
    <row r="113" spans="2:11" x14ac:dyDescent="0.25">
      <c r="B113" s="5"/>
      <c r="D113" s="5"/>
      <c r="E113" s="5"/>
      <c r="F113" s="5"/>
      <c r="G113" s="5"/>
      <c r="H113" s="5"/>
      <c r="I113" s="5"/>
      <c r="J113" s="5"/>
      <c r="K113" s="5"/>
    </row>
    <row r="114" spans="2:11" x14ac:dyDescent="0.25">
      <c r="B114" s="5"/>
      <c r="D114" s="5"/>
      <c r="E114" s="5"/>
      <c r="F114" s="5"/>
      <c r="G114" s="5"/>
      <c r="H114" s="5"/>
      <c r="I114" s="5"/>
      <c r="J114" s="5"/>
      <c r="K114" s="5"/>
    </row>
    <row r="115" spans="2:11" x14ac:dyDescent="0.25">
      <c r="B115" s="5"/>
      <c r="D115" s="5"/>
      <c r="E115" s="5"/>
      <c r="F115" s="5"/>
      <c r="G115" s="5"/>
      <c r="H115" s="5"/>
      <c r="I115" s="5"/>
      <c r="J115" s="5"/>
      <c r="K115" s="5"/>
    </row>
    <row r="116" spans="2:11" x14ac:dyDescent="0.25">
      <c r="B116" s="5"/>
      <c r="D116" s="5"/>
      <c r="E116" s="5"/>
      <c r="F116" s="5"/>
      <c r="G116" s="5"/>
      <c r="H116" s="5"/>
      <c r="I116" s="5"/>
      <c r="J116" s="5"/>
      <c r="K116" s="5"/>
    </row>
    <row r="117" spans="2:11" x14ac:dyDescent="0.25">
      <c r="B117" s="5"/>
      <c r="D117" s="5"/>
      <c r="E117" s="5"/>
      <c r="F117" s="5"/>
      <c r="G117" s="5"/>
      <c r="H117" s="5"/>
      <c r="I117" s="5"/>
      <c r="J117" s="5"/>
      <c r="K117" s="5"/>
    </row>
    <row r="118" spans="2:11" x14ac:dyDescent="0.25">
      <c r="B118" s="5"/>
      <c r="D118" s="5"/>
      <c r="E118" s="5"/>
      <c r="F118" s="5"/>
      <c r="G118" s="5"/>
      <c r="H118" s="5"/>
      <c r="I118" s="5"/>
      <c r="J118" s="5"/>
      <c r="K118" s="5"/>
    </row>
    <row r="119" spans="2:11" x14ac:dyDescent="0.25">
      <c r="B119" s="5"/>
      <c r="D119" s="5"/>
      <c r="E119" s="5"/>
      <c r="F119" s="5"/>
      <c r="G119" s="5"/>
      <c r="H119" s="5"/>
      <c r="I119" s="5"/>
      <c r="J119" s="5"/>
      <c r="K119" s="5"/>
    </row>
    <row r="120" spans="2:11" x14ac:dyDescent="0.25">
      <c r="B120" s="5"/>
      <c r="D120" s="5"/>
      <c r="E120" s="5"/>
      <c r="F120" s="5"/>
      <c r="G120" s="5"/>
      <c r="H120" s="5"/>
      <c r="I120" s="5"/>
      <c r="J120" s="5"/>
      <c r="K120" s="5"/>
    </row>
    <row r="121" spans="2:11" x14ac:dyDescent="0.25">
      <c r="B121" s="5"/>
      <c r="D121" s="5"/>
      <c r="E121" s="5"/>
      <c r="F121" s="5"/>
      <c r="G121" s="5"/>
      <c r="H121" s="5"/>
      <c r="I121" s="5"/>
      <c r="J121" s="5"/>
      <c r="K121" s="5"/>
    </row>
    <row r="122" spans="2:11" x14ac:dyDescent="0.25">
      <c r="B122" s="5"/>
      <c r="D122" s="5"/>
      <c r="E122" s="5"/>
      <c r="F122" s="5"/>
      <c r="G122" s="5"/>
      <c r="H122" s="5"/>
      <c r="I122" s="5"/>
      <c r="J122" s="5"/>
      <c r="K122" s="5"/>
    </row>
    <row r="123" spans="2:11" x14ac:dyDescent="0.25">
      <c r="B123" s="5"/>
      <c r="D123" s="5"/>
      <c r="E123" s="5"/>
      <c r="F123" s="5"/>
      <c r="G123" s="5"/>
      <c r="H123" s="5"/>
      <c r="I123" s="5"/>
      <c r="J123" s="5"/>
      <c r="K123" s="5"/>
    </row>
    <row r="124" spans="2:11" x14ac:dyDescent="0.25">
      <c r="B124" s="5"/>
      <c r="D124" s="5"/>
      <c r="E124" s="5"/>
      <c r="F124" s="5"/>
      <c r="G124" s="5"/>
      <c r="H124" s="5"/>
      <c r="I124" s="5"/>
      <c r="J124" s="5"/>
      <c r="K124" s="5"/>
    </row>
    <row r="125" spans="2:11" x14ac:dyDescent="0.25">
      <c r="B125" s="5"/>
      <c r="D125" s="5"/>
      <c r="E125" s="5"/>
      <c r="F125" s="5"/>
      <c r="G125" s="5"/>
      <c r="H125" s="5"/>
      <c r="I125" s="5"/>
      <c r="J125" s="5"/>
      <c r="K125" s="5"/>
    </row>
    <row r="126" spans="2:11" x14ac:dyDescent="0.25">
      <c r="B126" s="5"/>
      <c r="D126" s="5"/>
      <c r="E126" s="5"/>
      <c r="F126" s="5"/>
      <c r="G126" s="5"/>
      <c r="H126" s="5"/>
      <c r="I126" s="5"/>
      <c r="J126" s="5"/>
      <c r="K126" s="5"/>
    </row>
    <row r="127" spans="2:11" x14ac:dyDescent="0.25">
      <c r="B127" s="5"/>
      <c r="D127" s="5"/>
      <c r="E127" s="5"/>
      <c r="F127" s="5"/>
      <c r="G127" s="5"/>
      <c r="H127" s="5"/>
      <c r="I127" s="5"/>
      <c r="J127" s="5"/>
      <c r="K127" s="5"/>
    </row>
    <row r="128" spans="2:11" x14ac:dyDescent="0.25">
      <c r="B128" s="5"/>
      <c r="D128" s="5"/>
      <c r="E128" s="5"/>
      <c r="F128" s="5"/>
      <c r="G128" s="5"/>
      <c r="H128" s="5"/>
      <c r="I128" s="5"/>
      <c r="J128" s="5"/>
      <c r="K128" s="5"/>
    </row>
    <row r="129" spans="2:11" x14ac:dyDescent="0.25">
      <c r="B129" s="5"/>
      <c r="D129" s="5"/>
      <c r="E129" s="5"/>
      <c r="F129" s="5"/>
      <c r="G129" s="5"/>
      <c r="H129" s="5"/>
      <c r="I129" s="5"/>
      <c r="J129" s="5"/>
      <c r="K129" s="5"/>
    </row>
    <row r="130" spans="2:11" x14ac:dyDescent="0.25">
      <c r="B130" s="5"/>
      <c r="D130" s="5"/>
      <c r="E130" s="5"/>
      <c r="F130" s="5"/>
      <c r="G130" s="5"/>
      <c r="H130" s="5"/>
      <c r="I130" s="5"/>
      <c r="J130" s="5"/>
      <c r="K130" s="5"/>
    </row>
    <row r="131" spans="2:11" x14ac:dyDescent="0.25">
      <c r="B131" s="5"/>
      <c r="D131" s="5"/>
      <c r="E131" s="5"/>
      <c r="F131" s="5"/>
      <c r="G131" s="5"/>
      <c r="H131" s="5"/>
      <c r="I131" s="5"/>
      <c r="J131" s="5"/>
      <c r="K131" s="5"/>
    </row>
    <row r="132" spans="2:11" x14ac:dyDescent="0.25">
      <c r="B132" s="5"/>
      <c r="D132" s="5"/>
      <c r="E132" s="5"/>
      <c r="F132" s="5"/>
      <c r="G132" s="5"/>
      <c r="H132" s="5"/>
      <c r="I132" s="5"/>
      <c r="J132" s="5"/>
      <c r="K132" s="5"/>
    </row>
    <row r="133" spans="2:11" x14ac:dyDescent="0.25">
      <c r="B133" s="5"/>
      <c r="D133" s="5"/>
      <c r="E133" s="5"/>
      <c r="F133" s="5"/>
      <c r="G133" s="5"/>
      <c r="H133" s="5"/>
      <c r="I133" s="5"/>
      <c r="J133" s="5"/>
      <c r="K133" s="5"/>
    </row>
    <row r="134" spans="2:11" x14ac:dyDescent="0.25">
      <c r="B134" s="5"/>
      <c r="D134" s="5"/>
      <c r="E134" s="5"/>
      <c r="F134" s="5"/>
      <c r="G134" s="5"/>
      <c r="H134" s="5"/>
      <c r="I134" s="5"/>
      <c r="J134" s="5"/>
      <c r="K134" s="5"/>
    </row>
    <row r="135" spans="2:11" x14ac:dyDescent="0.25">
      <c r="B135" s="5"/>
      <c r="D135" s="5"/>
      <c r="E135" s="5"/>
      <c r="F135" s="5"/>
      <c r="G135" s="5"/>
      <c r="H135" s="5"/>
      <c r="I135" s="5"/>
      <c r="J135" s="5"/>
      <c r="K135" s="5"/>
    </row>
    <row r="136" spans="2:11" x14ac:dyDescent="0.25">
      <c r="B136" s="5"/>
      <c r="D136" s="5"/>
      <c r="E136" s="5"/>
      <c r="F136" s="5"/>
      <c r="G136" s="5"/>
      <c r="H136" s="5"/>
      <c r="I136" s="5"/>
      <c r="J136" s="5"/>
      <c r="K136" s="5"/>
    </row>
    <row r="137" spans="2:11" x14ac:dyDescent="0.25">
      <c r="B137" s="5"/>
      <c r="D137" s="5"/>
      <c r="E137" s="5"/>
      <c r="F137" s="5"/>
      <c r="G137" s="5"/>
      <c r="H137" s="5"/>
      <c r="I137" s="5"/>
      <c r="J137" s="5"/>
      <c r="K137" s="5"/>
    </row>
    <row r="138" spans="2:11" x14ac:dyDescent="0.25">
      <c r="B138" s="5"/>
      <c r="D138" s="5"/>
      <c r="E138" s="5"/>
      <c r="F138" s="5"/>
      <c r="G138" s="5"/>
      <c r="H138" s="5"/>
      <c r="I138" s="5"/>
      <c r="J138" s="5"/>
      <c r="K138" s="5"/>
    </row>
    <row r="139" spans="2:11" x14ac:dyDescent="0.25">
      <c r="B139" s="5"/>
      <c r="D139" s="5"/>
      <c r="E139" s="5"/>
      <c r="F139" s="5"/>
      <c r="G139" s="5"/>
      <c r="H139" s="5"/>
      <c r="I139" s="5"/>
      <c r="J139" s="5"/>
      <c r="K139" s="5"/>
    </row>
    <row r="140" spans="2:11" x14ac:dyDescent="0.25">
      <c r="B140" s="5"/>
      <c r="D140" s="5"/>
      <c r="E140" s="5"/>
      <c r="F140" s="5"/>
      <c r="G140" s="5"/>
      <c r="H140" s="5"/>
      <c r="I140" s="5"/>
      <c r="J140" s="5"/>
      <c r="K140" s="5"/>
    </row>
    <row r="141" spans="2:11" x14ac:dyDescent="0.25">
      <c r="B141" s="5"/>
      <c r="D141" s="5"/>
      <c r="E141" s="5"/>
      <c r="F141" s="5"/>
      <c r="G141" s="5"/>
      <c r="H141" s="5"/>
      <c r="I141" s="5"/>
      <c r="J141" s="5"/>
      <c r="K141" s="5"/>
    </row>
    <row r="142" spans="2:11" x14ac:dyDescent="0.25">
      <c r="B142" s="5"/>
      <c r="D142" s="5"/>
      <c r="E142" s="5"/>
      <c r="F142" s="5"/>
      <c r="G142" s="5"/>
      <c r="H142" s="5"/>
      <c r="I142" s="5"/>
      <c r="J142" s="5"/>
      <c r="K142" s="5"/>
    </row>
    <row r="143" spans="2:11" x14ac:dyDescent="0.25">
      <c r="B143" s="5"/>
      <c r="D143" s="5"/>
      <c r="E143" s="5"/>
      <c r="F143" s="5"/>
      <c r="G143" s="5"/>
      <c r="H143" s="5"/>
      <c r="I143" s="5"/>
      <c r="J143" s="5"/>
      <c r="K143" s="5"/>
    </row>
    <row r="144" spans="2:11" x14ac:dyDescent="0.25">
      <c r="B144" s="5"/>
      <c r="D144" s="5"/>
      <c r="E144" s="5"/>
      <c r="F144" s="5"/>
      <c r="G144" s="5"/>
      <c r="H144" s="5"/>
      <c r="I144" s="5"/>
      <c r="J144" s="5"/>
      <c r="K144" s="5"/>
    </row>
    <row r="145" spans="2:11" x14ac:dyDescent="0.25">
      <c r="B145" s="5"/>
      <c r="D145" s="5"/>
      <c r="E145" s="5"/>
      <c r="F145" s="5"/>
      <c r="G145" s="5"/>
      <c r="H145" s="5"/>
      <c r="I145" s="5"/>
      <c r="J145" s="5"/>
      <c r="K145" s="5"/>
    </row>
    <row r="146" spans="2:11" x14ac:dyDescent="0.25">
      <c r="B146" s="5"/>
      <c r="D146" s="5"/>
      <c r="E146" s="5"/>
      <c r="F146" s="5"/>
      <c r="G146" s="5"/>
      <c r="H146" s="5"/>
      <c r="I146" s="5"/>
      <c r="J146" s="5"/>
      <c r="K146" s="5"/>
    </row>
    <row r="147" spans="2:11" x14ac:dyDescent="0.25">
      <c r="B147" s="5"/>
      <c r="D147" s="5"/>
      <c r="E147" s="5"/>
      <c r="F147" s="5"/>
      <c r="G147" s="5"/>
      <c r="H147" s="5"/>
      <c r="I147" s="5"/>
      <c r="J147" s="5"/>
      <c r="K147" s="5"/>
    </row>
    <row r="148" spans="2:11" x14ac:dyDescent="0.25">
      <c r="B148" s="5"/>
      <c r="D148" s="5"/>
      <c r="E148" s="5"/>
      <c r="F148" s="5"/>
      <c r="G148" s="5"/>
      <c r="H148" s="5"/>
      <c r="I148" s="5"/>
      <c r="J148" s="5"/>
      <c r="K148" s="5"/>
    </row>
    <row r="149" spans="2:11" x14ac:dyDescent="0.25">
      <c r="B149" s="5"/>
      <c r="D149" s="5"/>
      <c r="E149" s="5"/>
      <c r="F149" s="5"/>
      <c r="G149" s="5"/>
      <c r="H149" s="5"/>
      <c r="I149" s="5"/>
      <c r="J149" s="5"/>
      <c r="K149" s="5"/>
    </row>
    <row r="150" spans="2:11" x14ac:dyDescent="0.25">
      <c r="B150" s="5"/>
      <c r="D150" s="5"/>
      <c r="E150" s="5"/>
      <c r="F150" s="5"/>
      <c r="G150" s="5"/>
      <c r="H150" s="5"/>
      <c r="I150" s="5"/>
      <c r="J150" s="5"/>
      <c r="K150" s="5"/>
    </row>
    <row r="151" spans="2:11" x14ac:dyDescent="0.25">
      <c r="B151" s="5"/>
      <c r="D151" s="5"/>
      <c r="E151" s="5"/>
      <c r="F151" s="5"/>
      <c r="G151" s="5"/>
      <c r="H151" s="5"/>
      <c r="I151" s="5"/>
      <c r="J151" s="5"/>
      <c r="K151" s="5"/>
    </row>
    <row r="152" spans="2:11" x14ac:dyDescent="0.25">
      <c r="B152" s="5"/>
      <c r="D152" s="5"/>
      <c r="E152" s="5"/>
      <c r="F152" s="5"/>
      <c r="G152" s="5"/>
      <c r="H152" s="5"/>
      <c r="I152" s="5"/>
      <c r="J152" s="5"/>
      <c r="K152" s="5"/>
    </row>
    <row r="153" spans="2:11" x14ac:dyDescent="0.25">
      <c r="B153" s="5"/>
      <c r="D153" s="5"/>
      <c r="E153" s="5"/>
      <c r="F153" s="5"/>
      <c r="G153" s="5"/>
      <c r="H153" s="5"/>
      <c r="I153" s="5"/>
      <c r="J153" s="5"/>
      <c r="K153" s="5"/>
    </row>
    <row r="154" spans="2:11" x14ac:dyDescent="0.25">
      <c r="B154" s="5"/>
      <c r="D154" s="5"/>
      <c r="E154" s="5"/>
      <c r="F154" s="5"/>
      <c r="G154" s="5"/>
      <c r="H154" s="5"/>
      <c r="I154" s="5"/>
      <c r="J154" s="5"/>
      <c r="K154" s="5"/>
    </row>
    <row r="155" spans="2:11" x14ac:dyDescent="0.25">
      <c r="B155" s="5"/>
      <c r="D155" s="5"/>
      <c r="E155" s="5"/>
      <c r="F155" s="5"/>
      <c r="G155" s="5"/>
      <c r="H155" s="5"/>
      <c r="I155" s="5"/>
      <c r="J155" s="5"/>
      <c r="K155" s="5"/>
    </row>
    <row r="156" spans="2:11" x14ac:dyDescent="0.25">
      <c r="B156" s="5"/>
      <c r="D156" s="5"/>
      <c r="E156" s="5"/>
      <c r="F156" s="5"/>
      <c r="G156" s="5"/>
      <c r="H156" s="5"/>
      <c r="I156" s="5"/>
      <c r="J156" s="5"/>
      <c r="K156" s="5"/>
    </row>
    <row r="157" spans="2:11" x14ac:dyDescent="0.25">
      <c r="B157" s="5"/>
      <c r="D157" s="5"/>
      <c r="E157" s="5"/>
      <c r="F157" s="5"/>
      <c r="G157" s="5"/>
      <c r="H157" s="5"/>
      <c r="I157" s="5"/>
      <c r="J157" s="5"/>
      <c r="K157" s="5"/>
    </row>
    <row r="158" spans="2:11" x14ac:dyDescent="0.25">
      <c r="B158" s="5"/>
      <c r="D158" s="5"/>
      <c r="E158" s="5"/>
      <c r="F158" s="5"/>
      <c r="G158" s="5"/>
      <c r="H158" s="5"/>
      <c r="I158" s="5"/>
      <c r="J158" s="5"/>
      <c r="K158" s="5"/>
    </row>
    <row r="159" spans="2:11" x14ac:dyDescent="0.25">
      <c r="B159" s="5"/>
      <c r="D159" s="5"/>
      <c r="E159" s="5"/>
      <c r="F159" s="5"/>
      <c r="G159" s="5"/>
      <c r="H159" s="5"/>
      <c r="I159" s="5"/>
      <c r="J159" s="5"/>
      <c r="K159" s="5"/>
    </row>
    <row r="160" spans="2:11" x14ac:dyDescent="0.25">
      <c r="B160" s="5"/>
      <c r="D160" s="5"/>
      <c r="E160" s="5"/>
      <c r="F160" s="5"/>
      <c r="G160" s="5"/>
      <c r="H160" s="5"/>
      <c r="I160" s="5"/>
      <c r="J160" s="5"/>
      <c r="K160" s="5"/>
    </row>
    <row r="161" spans="2:11" x14ac:dyDescent="0.25">
      <c r="B161" s="5"/>
      <c r="D161" s="5"/>
      <c r="E161" s="5"/>
      <c r="F161" s="5"/>
      <c r="G161" s="5"/>
      <c r="H161" s="5"/>
      <c r="I161" s="5"/>
      <c r="J161" s="5"/>
      <c r="K161" s="5"/>
    </row>
    <row r="162" spans="2:11" x14ac:dyDescent="0.25">
      <c r="B162" s="5"/>
      <c r="D162" s="5"/>
      <c r="E162" s="5"/>
      <c r="F162" s="5"/>
      <c r="G162" s="5"/>
      <c r="H162" s="5"/>
      <c r="I162" s="5"/>
      <c r="J162" s="5"/>
      <c r="K162" s="5"/>
    </row>
    <row r="163" spans="2:11" x14ac:dyDescent="0.25">
      <c r="B163" s="5"/>
      <c r="D163" s="5"/>
      <c r="E163" s="5"/>
      <c r="F163" s="5"/>
      <c r="G163" s="5"/>
      <c r="H163" s="5"/>
      <c r="I163" s="5"/>
      <c r="J163" s="5"/>
      <c r="K163" s="5"/>
    </row>
    <row r="164" spans="2:11" x14ac:dyDescent="0.25">
      <c r="B164" s="5"/>
      <c r="D164" s="5"/>
      <c r="E164" s="5"/>
      <c r="F164" s="5"/>
      <c r="G164" s="5"/>
      <c r="H164" s="5"/>
      <c r="I164" s="5"/>
      <c r="J164" s="5"/>
      <c r="K164" s="5"/>
    </row>
    <row r="165" spans="2:11" x14ac:dyDescent="0.25">
      <c r="B165" s="5"/>
      <c r="D165" s="5"/>
      <c r="E165" s="5"/>
      <c r="F165" s="5"/>
      <c r="G165" s="5"/>
      <c r="H165" s="5"/>
      <c r="I165" s="5"/>
      <c r="J165" s="5"/>
      <c r="K165" s="5"/>
    </row>
    <row r="166" spans="2:11" x14ac:dyDescent="0.25">
      <c r="B166" s="5"/>
      <c r="D166" s="5"/>
      <c r="E166" s="5"/>
      <c r="F166" s="5"/>
      <c r="G166" s="5"/>
      <c r="H166" s="5"/>
      <c r="I166" s="5"/>
      <c r="J166" s="5"/>
      <c r="K166" s="5"/>
    </row>
    <row r="167" spans="2:11" x14ac:dyDescent="0.25">
      <c r="B167" s="5"/>
      <c r="D167" s="5"/>
      <c r="E167" s="5"/>
      <c r="F167" s="5"/>
      <c r="G167" s="5"/>
      <c r="H167" s="5"/>
      <c r="I167" s="5"/>
      <c r="J167" s="5"/>
      <c r="K167" s="5"/>
    </row>
    <row r="168" spans="2:11" x14ac:dyDescent="0.25">
      <c r="B168" s="5"/>
      <c r="D168" s="5"/>
      <c r="E168" s="5"/>
      <c r="F168" s="5"/>
      <c r="G168" s="5"/>
      <c r="H168" s="5"/>
      <c r="I168" s="5"/>
      <c r="J168" s="5"/>
      <c r="K168" s="5"/>
    </row>
    <row r="169" spans="2:11" x14ac:dyDescent="0.25">
      <c r="B169" s="5"/>
      <c r="D169" s="5"/>
      <c r="E169" s="5"/>
      <c r="F169" s="5"/>
      <c r="G169" s="5"/>
      <c r="H169" s="5"/>
      <c r="I169" s="5"/>
      <c r="J169" s="5"/>
      <c r="K169" s="5"/>
    </row>
    <row r="170" spans="2:11" x14ac:dyDescent="0.25">
      <c r="B170" s="5"/>
      <c r="D170" s="5"/>
      <c r="E170" s="5"/>
      <c r="F170" s="5"/>
      <c r="G170" s="5"/>
      <c r="H170" s="5"/>
      <c r="I170" s="5"/>
      <c r="J170" s="5"/>
      <c r="K170" s="5"/>
    </row>
    <row r="171" spans="2:11" x14ac:dyDescent="0.25">
      <c r="B171" s="5"/>
      <c r="D171" s="5"/>
      <c r="E171" s="5"/>
      <c r="F171" s="5"/>
      <c r="G171" s="5"/>
      <c r="H171" s="5"/>
      <c r="I171" s="5"/>
      <c r="J171" s="5"/>
      <c r="K171" s="5"/>
    </row>
    <row r="172" spans="2:11" x14ac:dyDescent="0.25">
      <c r="B172" s="5"/>
      <c r="D172" s="5"/>
      <c r="E172" s="5"/>
      <c r="F172" s="5"/>
      <c r="G172" s="5"/>
      <c r="H172" s="5"/>
      <c r="I172" s="5"/>
      <c r="J172" s="5"/>
      <c r="K172" s="5"/>
    </row>
    <row r="173" spans="2:11" x14ac:dyDescent="0.25">
      <c r="B173" s="5"/>
      <c r="D173" s="5"/>
      <c r="E173" s="5"/>
      <c r="F173" s="5"/>
      <c r="G173" s="5"/>
      <c r="H173" s="5"/>
      <c r="I173" s="5"/>
      <c r="J173" s="5"/>
      <c r="K173" s="5"/>
    </row>
    <row r="174" spans="2:11" x14ac:dyDescent="0.25">
      <c r="B174" s="5"/>
      <c r="D174" s="5"/>
      <c r="E174" s="5"/>
      <c r="F174" s="5"/>
      <c r="G174" s="5"/>
      <c r="H174" s="5"/>
      <c r="I174" s="5"/>
      <c r="J174" s="5"/>
      <c r="K174" s="5"/>
    </row>
    <row r="175" spans="2:11" x14ac:dyDescent="0.25">
      <c r="B175" s="5"/>
      <c r="D175" s="5"/>
      <c r="E175" s="5"/>
      <c r="F175" s="5"/>
      <c r="G175" s="5"/>
      <c r="H175" s="5"/>
      <c r="I175" s="5"/>
      <c r="J175" s="5"/>
      <c r="K175" s="5"/>
    </row>
    <row r="176" spans="2:11" x14ac:dyDescent="0.25">
      <c r="B176" s="5"/>
      <c r="D176" s="5"/>
      <c r="E176" s="5"/>
      <c r="F176" s="5"/>
      <c r="G176" s="5"/>
      <c r="H176" s="5"/>
      <c r="I176" s="5"/>
      <c r="J176" s="5"/>
      <c r="K176" s="5"/>
    </row>
    <row r="177" spans="2:11" x14ac:dyDescent="0.25">
      <c r="B177" s="5"/>
      <c r="D177" s="5"/>
      <c r="E177" s="5"/>
      <c r="F177" s="5"/>
      <c r="G177" s="5"/>
      <c r="H177" s="5"/>
      <c r="I177" s="5"/>
      <c r="J177" s="5"/>
      <c r="K177" s="5"/>
    </row>
    <row r="178" spans="2:11" x14ac:dyDescent="0.25">
      <c r="B178" s="5"/>
      <c r="D178" s="5"/>
      <c r="E178" s="5"/>
      <c r="F178" s="5"/>
      <c r="G178" s="5"/>
      <c r="H178" s="5"/>
      <c r="I178" s="5"/>
      <c r="J178" s="5"/>
      <c r="K178" s="5"/>
    </row>
    <row r="179" spans="2:11" x14ac:dyDescent="0.25">
      <c r="B179" s="5"/>
      <c r="D179" s="5"/>
      <c r="E179" s="5"/>
      <c r="F179" s="5"/>
      <c r="G179" s="5"/>
      <c r="H179" s="5"/>
      <c r="I179" s="5"/>
      <c r="J179" s="5"/>
      <c r="K179" s="5"/>
    </row>
  </sheetData>
  <mergeCells count="23">
    <mergeCell ref="B10:D10"/>
    <mergeCell ref="F10:S10"/>
    <mergeCell ref="A1:P1"/>
    <mergeCell ref="A2:P2"/>
    <mergeCell ref="A3:P3"/>
    <mergeCell ref="A4:D4"/>
    <mergeCell ref="A5:P5"/>
    <mergeCell ref="F11:S11"/>
    <mergeCell ref="E12:R12"/>
    <mergeCell ref="E13:R13"/>
    <mergeCell ref="B65:B67"/>
    <mergeCell ref="B68:B74"/>
    <mergeCell ref="B15:B22"/>
    <mergeCell ref="D15:I15"/>
    <mergeCell ref="D18:I18"/>
    <mergeCell ref="D23:I23"/>
    <mergeCell ref="D24:I24"/>
    <mergeCell ref="B26:E26"/>
    <mergeCell ref="B27:B33"/>
    <mergeCell ref="B35:E35"/>
    <mergeCell ref="B55:B63"/>
    <mergeCell ref="B36:B42"/>
    <mergeCell ref="B49:E50"/>
  </mergeCells>
  <conditionalFormatting sqref="E12:R12">
    <cfRule type="expression" dxfId="56" priority="1">
      <formula>E11="SI SE REPORTA"</formula>
    </cfRule>
  </conditionalFormatting>
  <conditionalFormatting sqref="F10">
    <cfRule type="notContainsBlanks" dxfId="55" priority="4">
      <formula>LEN(TRIM(F10))&gt;0</formula>
    </cfRule>
  </conditionalFormatting>
  <conditionalFormatting sqref="F11:S11">
    <cfRule type="expression" dxfId="54" priority="2">
      <formula>E11="NO SE REPORTA"</formula>
    </cfRule>
    <cfRule type="expression" dxfId="53" priority="3">
      <formula>E10="NO APLICA"</formula>
    </cfRule>
  </conditionalFormatting>
  <dataValidations count="4">
    <dataValidation type="list" allowBlank="1" showInputMessage="1" showErrorMessage="1" sqref="E10" xr:uid="{00000000-0002-0000-1900-000003000000}">
      <formula1>SI</formula1>
    </dataValidation>
    <dataValidation type="list" allowBlank="1" showInputMessage="1" showErrorMessage="1" sqref="E11" xr:uid="{00000000-0002-0000-1900-000002000000}">
      <formula1>REPORTE</formula1>
    </dataValidation>
    <dataValidation allowBlank="1" showInputMessage="1" showErrorMessage="1" sqref="I20:I21" xr:uid="{00000000-0002-0000-1900-000001000000}"/>
    <dataValidation type="whole" operator="greaterThanOrEqual" allowBlank="1" showErrorMessage="1" errorTitle="ERROR" error="Escriba un número igual o mayor que 0" promptTitle="ERROR" prompt="Escriba un número igual o mayor que 0" sqref="E16:E17 E20:H21" xr:uid="{00000000-0002-0000-1900-000000000000}">
      <formula1>0</formula1>
    </dataValidation>
  </dataValidations>
  <hyperlinks>
    <hyperlink ref="B9" location="'ANEXO 3'!A1" display="VOLVER AL INDICE" xr:uid="{F75429A1-930C-4C2A-97C5-AF002986B6C0}"/>
    <hyperlink ref="E31" r:id="rId1" xr:uid="{0ED23CD7-DC88-4E51-8DF4-521CA3897C0D}"/>
  </hyperlinks>
  <pageMargins left="0.25" right="0.25" top="0.75" bottom="0.75" header="0.3" footer="0.3"/>
  <pageSetup paperSize="178" orientation="landscape" horizontalDpi="1200" verticalDpi="1200" r:id="rId2"/>
  <drawing r:id="rId3"/>
  <legacy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70D6F-3856-447A-94F0-40C5A60C4145}">
  <dimension ref="A1:U180"/>
  <sheetViews>
    <sheetView showGridLines="0" topLeftCell="A38" zoomScale="98" zoomScaleNormal="98" workbookViewId="0">
      <selection activeCell="D18" sqref="D18:I18"/>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7" width="25" customWidth="1"/>
    <col min="8" max="8" width="15.140625" customWidth="1"/>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27</v>
      </c>
      <c r="B5" s="998"/>
      <c r="C5" s="998"/>
      <c r="D5" s="998"/>
      <c r="E5" s="998"/>
      <c r="F5" s="998"/>
      <c r="G5" s="998"/>
      <c r="H5" s="998"/>
      <c r="I5" s="998"/>
      <c r="J5" s="998"/>
      <c r="K5" s="998"/>
      <c r="L5" s="998"/>
      <c r="M5" s="998"/>
      <c r="N5" s="998"/>
      <c r="O5" s="998"/>
      <c r="P5" s="999"/>
    </row>
    <row r="6" spans="1:21" x14ac:dyDescent="0.25">
      <c r="B6" s="1" t="s">
        <v>626</v>
      </c>
      <c r="C6" s="76"/>
      <c r="D6" s="5"/>
      <c r="E6" s="74"/>
      <c r="F6" s="5" t="s">
        <v>627</v>
      </c>
      <c r="G6" s="5"/>
      <c r="H6" s="5"/>
      <c r="I6" s="5"/>
      <c r="J6" s="5"/>
      <c r="K6" s="5"/>
    </row>
    <row r="7" spans="1:21" ht="15.75" thickBot="1" x14ac:dyDescent="0.3">
      <c r="B7" s="27"/>
      <c r="C7" s="77"/>
      <c r="D7" s="5"/>
      <c r="E7" s="17"/>
      <c r="F7" s="5" t="s">
        <v>628</v>
      </c>
      <c r="G7" s="5"/>
      <c r="H7" s="5"/>
      <c r="I7" s="5"/>
      <c r="J7" s="5"/>
      <c r="K7" s="5"/>
    </row>
    <row r="8" spans="1:21" ht="15.75" thickBot="1" x14ac:dyDescent="0.3">
      <c r="B8" s="170" t="s">
        <v>629</v>
      </c>
      <c r="C8" s="211">
        <v>2024</v>
      </c>
      <c r="D8" s="216">
        <f>IF(E10="NO APLICA","NO APLICA",IF(E11="NO SE REPORTA","SIN INFORMACION",+G20))</f>
        <v>0</v>
      </c>
      <c r="E8" s="212"/>
      <c r="F8" s="5" t="s">
        <v>630</v>
      </c>
      <c r="G8" s="5"/>
      <c r="H8" s="5"/>
      <c r="I8" s="5"/>
      <c r="J8" s="5"/>
      <c r="K8" s="5"/>
    </row>
    <row r="9" spans="1:21" x14ac:dyDescent="0.25">
      <c r="B9" s="358" t="s">
        <v>631</v>
      </c>
      <c r="D9" s="5"/>
      <c r="E9" s="5"/>
      <c r="F9" s="5"/>
      <c r="G9" s="5"/>
      <c r="H9" s="5"/>
      <c r="I9" s="5"/>
      <c r="J9" s="5"/>
      <c r="K9" s="5"/>
    </row>
    <row r="10" spans="1:21" x14ac:dyDescent="0.25">
      <c r="B10" s="1008" t="s">
        <v>632</v>
      </c>
      <c r="C10" s="1008"/>
      <c r="D10" s="1008"/>
      <c r="E10" s="361" t="s">
        <v>633</v>
      </c>
      <c r="F10" s="99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96"/>
      <c r="H10" s="996"/>
      <c r="I10" s="996"/>
      <c r="J10" s="996"/>
      <c r="K10" s="996"/>
      <c r="L10" s="996"/>
      <c r="M10" s="996"/>
      <c r="N10" s="996"/>
      <c r="O10" s="996"/>
      <c r="P10" s="996"/>
      <c r="Q10" s="996"/>
      <c r="R10" s="996"/>
      <c r="S10" s="996"/>
      <c r="T10" s="5"/>
      <c r="U10" s="5"/>
    </row>
    <row r="11" spans="1:21" ht="14.45" customHeight="1" x14ac:dyDescent="0.25">
      <c r="B11" s="360"/>
      <c r="C11" s="88"/>
      <c r="D11" s="171" t="str">
        <f>IF(E10="SI APLICA","¿El indicador no se reporta por limitaciones de información disponible? ","")</f>
        <v xml:space="preserve">¿El indicador no se reporta por limitaciones de información disponible? </v>
      </c>
      <c r="E11" s="362" t="s">
        <v>634</v>
      </c>
      <c r="F11" s="1009"/>
      <c r="G11" s="1010"/>
      <c r="H11" s="1010"/>
      <c r="I11" s="1010"/>
      <c r="J11" s="1010"/>
      <c r="K11" s="1010"/>
      <c r="L11" s="1010"/>
      <c r="M11" s="1010"/>
      <c r="N11" s="1010"/>
      <c r="O11" s="1010"/>
      <c r="P11" s="1010"/>
      <c r="Q11" s="1010"/>
      <c r="R11" s="1010"/>
      <c r="S11" s="1010"/>
    </row>
    <row r="12" spans="1:21" ht="67.150000000000006" customHeight="1" x14ac:dyDescent="0.25">
      <c r="B12" s="358"/>
      <c r="C12" s="88"/>
      <c r="D12" s="171" t="str">
        <f>IF(E11="SI SE REPORTA","¿Qué programas o proyectos del Plan de Acción están asociados al indicador? ","")</f>
        <v xml:space="preserve">¿Qué programas o proyectos del Plan de Acción están asociados al indicador? </v>
      </c>
      <c r="E12" s="1011" t="s">
        <v>2362</v>
      </c>
      <c r="F12" s="1011"/>
      <c r="G12" s="1011"/>
      <c r="H12" s="1011"/>
      <c r="I12" s="1011"/>
      <c r="J12" s="1011"/>
      <c r="K12" s="1011"/>
      <c r="L12" s="1011"/>
      <c r="M12" s="1011"/>
      <c r="N12" s="1011"/>
      <c r="O12" s="1011"/>
      <c r="P12" s="1011"/>
      <c r="Q12" s="1011"/>
      <c r="R12" s="1011"/>
    </row>
    <row r="13" spans="1:21" ht="21.95" customHeight="1" x14ac:dyDescent="0.25">
      <c r="B13" s="358"/>
      <c r="C13" s="88"/>
      <c r="D13" s="171" t="s">
        <v>635</v>
      </c>
      <c r="E13" s="1012"/>
      <c r="F13" s="1013"/>
      <c r="G13" s="1013"/>
      <c r="H13" s="1013"/>
      <c r="I13" s="1013"/>
      <c r="J13" s="1013"/>
      <c r="K13" s="1013"/>
      <c r="L13" s="1013"/>
      <c r="M13" s="1013"/>
      <c r="N13" s="1013"/>
      <c r="O13" s="1013"/>
      <c r="P13" s="1013"/>
      <c r="Q13" s="1013"/>
      <c r="R13" s="1014"/>
    </row>
    <row r="14" spans="1:21" ht="6.95" customHeight="1" thickBot="1" x14ac:dyDescent="0.3">
      <c r="B14" s="358"/>
      <c r="D14" s="5"/>
      <c r="E14" s="5"/>
      <c r="F14" s="5"/>
      <c r="G14" s="5"/>
      <c r="H14" s="5"/>
      <c r="I14" s="5"/>
      <c r="J14" s="5"/>
      <c r="K14" s="5"/>
    </row>
    <row r="15" spans="1:21" ht="15" customHeight="1" thickTop="1" x14ac:dyDescent="0.25">
      <c r="B15" s="1044" t="s">
        <v>636</v>
      </c>
      <c r="C15" s="89"/>
      <c r="D15" s="956" t="s">
        <v>940</v>
      </c>
      <c r="E15" s="957"/>
      <c r="F15" s="957"/>
      <c r="G15" s="957"/>
      <c r="H15" s="957"/>
      <c r="I15" s="957"/>
      <c r="J15" s="957"/>
      <c r="K15" s="958"/>
    </row>
    <row r="16" spans="1:21" ht="15.75" thickBot="1" x14ac:dyDescent="0.3">
      <c r="B16" s="951"/>
      <c r="C16" s="92"/>
      <c r="D16" s="1116" t="s">
        <v>27</v>
      </c>
      <c r="E16" s="1117"/>
      <c r="F16" s="1117"/>
      <c r="G16" s="1117"/>
      <c r="H16" s="1117"/>
      <c r="I16" s="1117"/>
      <c r="J16" s="1117"/>
      <c r="K16" s="1118"/>
    </row>
    <row r="17" spans="2:12" ht="15.75" thickBot="1" x14ac:dyDescent="0.3">
      <c r="B17" s="951"/>
      <c r="C17" s="90" t="s">
        <v>585</v>
      </c>
      <c r="D17" s="38" t="s">
        <v>849</v>
      </c>
      <c r="E17" s="38" t="s">
        <v>587</v>
      </c>
      <c r="F17" s="38" t="s">
        <v>588</v>
      </c>
      <c r="G17" s="38" t="s">
        <v>589</v>
      </c>
      <c r="H17" s="38" t="s">
        <v>590</v>
      </c>
      <c r="I17" s="38" t="s">
        <v>1251</v>
      </c>
      <c r="K17" s="21"/>
    </row>
    <row r="18" spans="2:12" ht="36.75" thickBot="1" x14ac:dyDescent="0.3">
      <c r="B18" s="951"/>
      <c r="C18" s="91" t="s">
        <v>765</v>
      </c>
      <c r="D18" s="40" t="s">
        <v>1319</v>
      </c>
      <c r="E18" s="778">
        <v>3</v>
      </c>
      <c r="F18" s="6"/>
      <c r="G18" s="6"/>
      <c r="H18" s="6"/>
      <c r="I18" s="42">
        <f>SUM(E18:H18)</f>
        <v>3</v>
      </c>
      <c r="K18" s="21"/>
    </row>
    <row r="19" spans="2:12" ht="36.75" thickBot="1" x14ac:dyDescent="0.3">
      <c r="B19" s="951"/>
      <c r="C19" s="91" t="s">
        <v>767</v>
      </c>
      <c r="D19" s="40" t="s">
        <v>1320</v>
      </c>
      <c r="E19" s="778">
        <v>3</v>
      </c>
      <c r="F19" s="6"/>
      <c r="G19" s="6"/>
      <c r="H19" s="6"/>
      <c r="I19" s="42">
        <f>SUM(E19:H19)</f>
        <v>3</v>
      </c>
      <c r="K19" s="21"/>
    </row>
    <row r="20" spans="2:12" ht="48.75" thickBot="1" x14ac:dyDescent="0.3">
      <c r="B20" s="951"/>
      <c r="C20" s="91" t="s">
        <v>769</v>
      </c>
      <c r="D20" s="40" t="s">
        <v>1321</v>
      </c>
      <c r="E20" s="137">
        <f>IFERROR(E19/E18,0)</f>
        <v>1</v>
      </c>
      <c r="F20" s="137">
        <f>IFERROR(F19/F18,0)</f>
        <v>0</v>
      </c>
      <c r="G20" s="137">
        <f>IFERROR(G19/G18,0)</f>
        <v>0</v>
      </c>
      <c r="H20" s="137">
        <f>IFERROR(H19/H18,0)</f>
        <v>0</v>
      </c>
      <c r="I20" s="137">
        <f>IFERROR(I19/I18,0)</f>
        <v>1</v>
      </c>
      <c r="K20" s="21"/>
    </row>
    <row r="21" spans="2:12" x14ac:dyDescent="0.25">
      <c r="B21" s="218"/>
      <c r="C21" s="92"/>
      <c r="D21" s="962"/>
      <c r="E21" s="963"/>
      <c r="F21" s="963"/>
      <c r="G21" s="963"/>
      <c r="H21" s="963"/>
      <c r="I21" s="963"/>
      <c r="J21" s="963"/>
      <c r="K21" s="964"/>
    </row>
    <row r="22" spans="2:12" x14ac:dyDescent="0.25">
      <c r="B22" s="218"/>
      <c r="C22" s="92"/>
      <c r="D22" s="1116" t="s">
        <v>1322</v>
      </c>
      <c r="E22" s="1117"/>
      <c r="F22" s="1117"/>
      <c r="G22" s="1117"/>
      <c r="H22" s="1117"/>
      <c r="I22" s="1117"/>
      <c r="J22" s="1117"/>
      <c r="K22" s="1118"/>
    </row>
    <row r="23" spans="2:12" ht="24" customHeight="1" thickBot="1" x14ac:dyDescent="0.3">
      <c r="B23" s="218"/>
      <c r="C23" s="92"/>
      <c r="D23" s="1130" t="s">
        <v>1323</v>
      </c>
      <c r="E23" s="1131"/>
      <c r="F23" s="1131"/>
      <c r="G23" s="1131"/>
      <c r="H23" s="1131"/>
      <c r="I23" s="1131"/>
      <c r="J23" s="1131"/>
      <c r="K23" s="1132"/>
    </row>
    <row r="24" spans="2:12" ht="15.75" thickBot="1" x14ac:dyDescent="0.3">
      <c r="B24" s="218"/>
      <c r="C24" s="958" t="s">
        <v>585</v>
      </c>
      <c r="D24" s="974" t="s">
        <v>868</v>
      </c>
      <c r="E24" s="974" t="s">
        <v>1254</v>
      </c>
      <c r="F24" s="1068" t="s">
        <v>1324</v>
      </c>
      <c r="G24" s="1133" t="s">
        <v>1325</v>
      </c>
      <c r="H24" s="1134"/>
      <c r="I24" s="1134"/>
      <c r="J24" s="1135"/>
      <c r="K24" s="117"/>
    </row>
    <row r="25" spans="2:12" x14ac:dyDescent="0.25">
      <c r="B25" s="218"/>
      <c r="C25" s="964"/>
      <c r="D25" s="975"/>
      <c r="E25" s="975"/>
      <c r="F25" s="1095"/>
      <c r="G25" s="69" t="s">
        <v>1128</v>
      </c>
      <c r="H25" s="1068" t="s">
        <v>1326</v>
      </c>
      <c r="I25" s="1068" t="s">
        <v>872</v>
      </c>
      <c r="J25" s="1068" t="s">
        <v>873</v>
      </c>
      <c r="K25" s="11"/>
    </row>
    <row r="26" spans="2:12" ht="15.75" thickBot="1" x14ac:dyDescent="0.3">
      <c r="B26" s="218"/>
      <c r="C26" s="988"/>
      <c r="D26" s="976"/>
      <c r="E26" s="976"/>
      <c r="F26" s="1069"/>
      <c r="G26" s="65" t="s">
        <v>1327</v>
      </c>
      <c r="H26" s="1069"/>
      <c r="I26" s="1069"/>
      <c r="J26" s="1069"/>
      <c r="K26" s="11"/>
    </row>
    <row r="27" spans="2:12" ht="108.75" thickBot="1" x14ac:dyDescent="0.3">
      <c r="B27" s="218"/>
      <c r="C27" s="30">
        <v>1</v>
      </c>
      <c r="D27" s="776" t="s">
        <v>2361</v>
      </c>
      <c r="E27" s="777" t="s">
        <v>2360</v>
      </c>
      <c r="F27" s="776" t="s">
        <v>2359</v>
      </c>
      <c r="G27" s="775">
        <v>155000000</v>
      </c>
      <c r="H27" s="207"/>
      <c r="I27" s="207"/>
      <c r="J27" s="207"/>
      <c r="K27" s="11"/>
      <c r="L27" s="215"/>
    </row>
    <row r="28" spans="2:12" ht="15.75" thickBot="1" x14ac:dyDescent="0.3">
      <c r="B28" s="218"/>
      <c r="C28" s="30">
        <v>2</v>
      </c>
      <c r="D28" s="30"/>
      <c r="E28" s="337"/>
      <c r="F28" s="30"/>
      <c r="G28" s="207"/>
      <c r="H28" s="207"/>
      <c r="I28" s="207"/>
      <c r="J28" s="207"/>
      <c r="K28" s="11"/>
      <c r="L28" s="215"/>
    </row>
    <row r="29" spans="2:12" ht="15.75" thickBot="1" x14ac:dyDescent="0.3">
      <c r="B29" s="218"/>
      <c r="C29" s="30">
        <v>3</v>
      </c>
      <c r="D29" s="30"/>
      <c r="E29" s="337"/>
      <c r="F29" s="30"/>
      <c r="G29" s="207"/>
      <c r="H29" s="207"/>
      <c r="I29" s="207"/>
      <c r="J29" s="207"/>
      <c r="K29" s="11"/>
      <c r="L29" s="215"/>
    </row>
    <row r="30" spans="2:12" ht="15.75" thickBot="1" x14ac:dyDescent="0.3">
      <c r="B30" s="218"/>
      <c r="C30" s="30">
        <v>4</v>
      </c>
      <c r="D30" s="30"/>
      <c r="E30" s="337"/>
      <c r="F30" s="30"/>
      <c r="G30" s="207"/>
      <c r="H30" s="207"/>
      <c r="I30" s="207"/>
      <c r="J30" s="207"/>
      <c r="K30" s="11"/>
      <c r="L30" s="215"/>
    </row>
    <row r="31" spans="2:12" ht="15.75" thickBot="1" x14ac:dyDescent="0.3">
      <c r="B31" s="218"/>
      <c r="C31" s="30">
        <v>5</v>
      </c>
      <c r="D31" s="30"/>
      <c r="E31" s="337"/>
      <c r="F31" s="30"/>
      <c r="G31" s="207"/>
      <c r="H31" s="207"/>
      <c r="I31" s="207"/>
      <c r="J31" s="207"/>
      <c r="K31" s="11"/>
      <c r="L31" s="215"/>
    </row>
    <row r="32" spans="2:12" ht="15.75" thickBot="1" x14ac:dyDescent="0.3">
      <c r="B32" s="218"/>
      <c r="C32" s="30">
        <v>6</v>
      </c>
      <c r="D32" s="30"/>
      <c r="E32" s="337"/>
      <c r="F32" s="30"/>
      <c r="G32" s="207"/>
      <c r="H32" s="207"/>
      <c r="I32" s="207"/>
      <c r="J32" s="207"/>
      <c r="K32" s="11"/>
      <c r="L32" s="215"/>
    </row>
    <row r="33" spans="2:11" ht="15.75" thickBot="1" x14ac:dyDescent="0.3">
      <c r="B33" s="218"/>
      <c r="C33" s="39"/>
      <c r="D33" s="39" t="s">
        <v>764</v>
      </c>
      <c r="E33" s="39"/>
      <c r="F33" s="40"/>
      <c r="G33" s="135">
        <f>SUM(G27:G32)</f>
        <v>155000000</v>
      </c>
      <c r="H33" s="135">
        <f>SUM(H27:H32)</f>
        <v>0</v>
      </c>
      <c r="I33" s="135">
        <f>SUM(I27:I32)</f>
        <v>0</v>
      </c>
      <c r="J33" s="135">
        <f>SUM(J27:J32)</f>
        <v>0</v>
      </c>
      <c r="K33" s="12"/>
    </row>
    <row r="34" spans="2:11" x14ac:dyDescent="0.25">
      <c r="B34" s="218"/>
      <c r="C34" s="92"/>
      <c r="D34" s="956" t="s">
        <v>1265</v>
      </c>
      <c r="E34" s="957"/>
      <c r="F34" s="957"/>
      <c r="G34" s="957"/>
      <c r="H34" s="957"/>
      <c r="I34" s="957"/>
      <c r="J34" s="957"/>
      <c r="K34" s="958"/>
    </row>
    <row r="35" spans="2:11" ht="24" customHeight="1" thickBot="1" x14ac:dyDescent="0.3">
      <c r="B35" s="218"/>
      <c r="C35" s="92"/>
      <c r="D35" s="962" t="s">
        <v>1328</v>
      </c>
      <c r="E35" s="963"/>
      <c r="F35" s="963"/>
      <c r="G35" s="963"/>
      <c r="H35" s="963"/>
      <c r="I35" s="963"/>
      <c r="J35" s="963"/>
      <c r="K35" s="964"/>
    </row>
    <row r="36" spans="2:11" ht="15.75" thickBot="1" x14ac:dyDescent="0.3">
      <c r="B36" s="218"/>
      <c r="C36" s="967" t="s">
        <v>585</v>
      </c>
      <c r="D36" s="1119" t="s">
        <v>1329</v>
      </c>
      <c r="E36" s="1122" t="s">
        <v>1330</v>
      </c>
      <c r="F36" s="1123"/>
      <c r="G36" s="70"/>
      <c r="H36" s="5"/>
      <c r="I36" s="5"/>
      <c r="K36" s="21"/>
    </row>
    <row r="37" spans="2:11" x14ac:dyDescent="0.25">
      <c r="B37" s="218"/>
      <c r="C37" s="961"/>
      <c r="D37" s="1120"/>
      <c r="E37" s="974" t="s">
        <v>1331</v>
      </c>
      <c r="F37" s="46" t="s">
        <v>1332</v>
      </c>
      <c r="G37" s="974" t="s">
        <v>593</v>
      </c>
      <c r="H37" s="5"/>
      <c r="I37" s="5"/>
      <c r="K37" s="21"/>
    </row>
    <row r="38" spans="2:11" ht="15.75" thickBot="1" x14ac:dyDescent="0.3">
      <c r="B38" s="218"/>
      <c r="C38" s="955"/>
      <c r="D38" s="1121"/>
      <c r="E38" s="976"/>
      <c r="F38" s="478" t="s">
        <v>1326</v>
      </c>
      <c r="G38" s="976"/>
      <c r="H38" s="5"/>
      <c r="I38" s="5"/>
      <c r="K38" s="21"/>
    </row>
    <row r="39" spans="2:11" ht="15.75" thickBot="1" x14ac:dyDescent="0.3">
      <c r="B39" s="218"/>
      <c r="C39" s="339">
        <v>1</v>
      </c>
      <c r="D39" s="157"/>
      <c r="E39" s="141">
        <f t="shared" ref="E39:E44" si="0">IFERROR(I27/H27,0)</f>
        <v>0</v>
      </c>
      <c r="F39" s="141">
        <f t="shared" ref="F39:F45" si="1">IFERROR(J27/H27,0)</f>
        <v>0</v>
      </c>
      <c r="G39" s="337"/>
      <c r="H39" s="5"/>
      <c r="I39" s="5"/>
      <c r="K39" s="21"/>
    </row>
    <row r="40" spans="2:11" ht="15.75" thickBot="1" x14ac:dyDescent="0.3">
      <c r="B40" s="218"/>
      <c r="C40" s="339">
        <v>2</v>
      </c>
      <c r="D40" s="157"/>
      <c r="E40" s="141">
        <f t="shared" si="0"/>
        <v>0</v>
      </c>
      <c r="F40" s="141">
        <f t="shared" si="1"/>
        <v>0</v>
      </c>
      <c r="G40" s="337"/>
      <c r="H40" s="5"/>
      <c r="I40" s="5"/>
      <c r="K40" s="21"/>
    </row>
    <row r="41" spans="2:11" ht="15.75" thickBot="1" x14ac:dyDescent="0.3">
      <c r="B41" s="218"/>
      <c r="C41" s="339">
        <v>3</v>
      </c>
      <c r="D41" s="157"/>
      <c r="E41" s="141">
        <f t="shared" si="0"/>
        <v>0</v>
      </c>
      <c r="F41" s="141">
        <f t="shared" si="1"/>
        <v>0</v>
      </c>
      <c r="G41" s="337"/>
      <c r="H41" s="5"/>
      <c r="I41" s="5"/>
      <c r="K41" s="21"/>
    </row>
    <row r="42" spans="2:11" ht="15.75" thickBot="1" x14ac:dyDescent="0.3">
      <c r="B42" s="218"/>
      <c r="C42" s="339">
        <v>4</v>
      </c>
      <c r="D42" s="157"/>
      <c r="E42" s="141">
        <f t="shared" si="0"/>
        <v>0</v>
      </c>
      <c r="F42" s="141">
        <f t="shared" si="1"/>
        <v>0</v>
      </c>
      <c r="G42" s="337"/>
      <c r="H42" s="5"/>
      <c r="I42" s="5"/>
      <c r="K42" s="21"/>
    </row>
    <row r="43" spans="2:11" ht="15.75" thickBot="1" x14ac:dyDescent="0.3">
      <c r="B43" s="218"/>
      <c r="C43" s="339">
        <v>5</v>
      </c>
      <c r="D43" s="157"/>
      <c r="E43" s="141">
        <f t="shared" si="0"/>
        <v>0</v>
      </c>
      <c r="F43" s="141">
        <f t="shared" si="1"/>
        <v>0</v>
      </c>
      <c r="G43" s="337"/>
      <c r="H43" s="5"/>
      <c r="I43" s="5"/>
      <c r="K43" s="21"/>
    </row>
    <row r="44" spans="2:11" ht="15.75" thickBot="1" x14ac:dyDescent="0.3">
      <c r="B44" s="218"/>
      <c r="C44" s="339">
        <v>6</v>
      </c>
      <c r="D44" s="157"/>
      <c r="E44" s="141">
        <f t="shared" si="0"/>
        <v>0</v>
      </c>
      <c r="F44" s="141">
        <f t="shared" si="1"/>
        <v>0</v>
      </c>
      <c r="G44" s="337"/>
      <c r="H44" s="5"/>
      <c r="I44" s="5"/>
      <c r="K44" s="21"/>
    </row>
    <row r="45" spans="2:11" ht="15.75" thickBot="1" x14ac:dyDescent="0.3">
      <c r="B45" s="47"/>
      <c r="C45" s="68"/>
      <c r="D45" s="158" t="str">
        <f>[5]Formulas!$D$22</f>
        <v>ERROR: LA SUMA DE LA COLUMNA DEBE SER 100%</v>
      </c>
      <c r="E45" s="142">
        <f>+$D39*E39+$D40*E40+$D41*E41+$D42*E42+$D43*E43+$D44*E44</f>
        <v>0</v>
      </c>
      <c r="F45" s="141">
        <f t="shared" si="1"/>
        <v>0</v>
      </c>
      <c r="G45" s="40"/>
      <c r="H45" s="22"/>
      <c r="I45" s="22"/>
      <c r="J45" s="22"/>
      <c r="K45" s="23"/>
    </row>
    <row r="46" spans="2:11" ht="15.75" thickBot="1" x14ac:dyDescent="0.3">
      <c r="B46" s="37"/>
      <c r="C46" s="88"/>
      <c r="D46" s="5"/>
      <c r="E46" s="5"/>
      <c r="F46" s="5"/>
      <c r="G46" s="5"/>
      <c r="H46" s="5"/>
      <c r="I46" s="5"/>
      <c r="J46" s="5"/>
      <c r="K46" s="5"/>
    </row>
    <row r="47" spans="2:11" ht="84.75" thickBot="1" x14ac:dyDescent="0.3">
      <c r="B47" s="52" t="s">
        <v>671</v>
      </c>
      <c r="C47" s="98"/>
      <c r="D47" s="43" t="s">
        <v>1333</v>
      </c>
      <c r="E47" s="5"/>
      <c r="F47" s="5"/>
      <c r="G47" s="5"/>
      <c r="H47" s="5"/>
      <c r="I47" s="5"/>
      <c r="J47" s="5"/>
      <c r="K47" s="5"/>
    </row>
    <row r="48" spans="2:11" ht="60.75" thickBot="1" x14ac:dyDescent="0.3">
      <c r="B48" s="47" t="s">
        <v>673</v>
      </c>
      <c r="C48" s="2"/>
      <c r="D48" s="40" t="s">
        <v>953</v>
      </c>
      <c r="E48" s="5"/>
      <c r="F48" s="5"/>
      <c r="G48" s="5"/>
      <c r="H48" s="5"/>
      <c r="I48" s="5"/>
      <c r="J48" s="5"/>
      <c r="K48" s="5"/>
    </row>
    <row r="49" spans="2:11" ht="15.75" thickBot="1" x14ac:dyDescent="0.3">
      <c r="B49" s="1"/>
      <c r="C49" s="76"/>
      <c r="D49" s="5"/>
      <c r="E49" s="5"/>
      <c r="F49" s="5"/>
      <c r="G49" s="5"/>
      <c r="H49" s="5"/>
      <c r="I49" s="5"/>
      <c r="J49" s="5"/>
      <c r="K49" s="5"/>
    </row>
    <row r="50" spans="2:11" ht="24" customHeight="1" thickBot="1" x14ac:dyDescent="0.3">
      <c r="B50" s="971" t="s">
        <v>675</v>
      </c>
      <c r="C50" s="972"/>
      <c r="D50" s="972"/>
      <c r="E50" s="973"/>
      <c r="F50" s="5"/>
      <c r="G50" s="5"/>
      <c r="H50" s="5"/>
      <c r="I50" s="5"/>
      <c r="J50" s="5"/>
      <c r="K50" s="5"/>
    </row>
    <row r="51" spans="2:11" ht="24.75" thickBot="1" x14ac:dyDescent="0.3">
      <c r="B51" s="974">
        <v>1</v>
      </c>
      <c r="C51" s="94"/>
      <c r="D51" s="48" t="s">
        <v>676</v>
      </c>
      <c r="E51" s="337" t="s">
        <v>2301</v>
      </c>
      <c r="F51" s="5"/>
      <c r="G51" s="5"/>
      <c r="H51" s="5"/>
      <c r="I51" s="5"/>
      <c r="J51" s="5"/>
      <c r="K51" s="5"/>
    </row>
    <row r="52" spans="2:11" ht="24.75" thickBot="1" x14ac:dyDescent="0.3">
      <c r="B52" s="975"/>
      <c r="C52" s="94"/>
      <c r="D52" s="40" t="s">
        <v>525</v>
      </c>
      <c r="E52" s="337" t="s">
        <v>2311</v>
      </c>
      <c r="F52" s="5"/>
      <c r="G52" s="5"/>
      <c r="H52" s="5"/>
      <c r="I52" s="5"/>
      <c r="J52" s="5"/>
      <c r="K52" s="5"/>
    </row>
    <row r="53" spans="2:11" ht="15.75" thickBot="1" x14ac:dyDescent="0.3">
      <c r="B53" s="975"/>
      <c r="C53" s="94"/>
      <c r="D53" s="40" t="s">
        <v>677</v>
      </c>
      <c r="E53" s="337" t="s">
        <v>2303</v>
      </c>
      <c r="F53" s="5"/>
      <c r="G53" s="5"/>
      <c r="H53" s="5"/>
      <c r="I53" s="5"/>
      <c r="J53" s="5"/>
      <c r="K53" s="5"/>
    </row>
    <row r="54" spans="2:11" ht="15.75" thickBot="1" x14ac:dyDescent="0.3">
      <c r="B54" s="975"/>
      <c r="C54" s="94"/>
      <c r="D54" s="40" t="s">
        <v>527</v>
      </c>
      <c r="E54" s="337" t="s">
        <v>2304</v>
      </c>
      <c r="F54" s="5"/>
      <c r="G54" s="5"/>
      <c r="H54" s="5"/>
      <c r="I54" s="5"/>
      <c r="J54" s="5"/>
      <c r="K54" s="5"/>
    </row>
    <row r="55" spans="2:11" ht="30.75" thickBot="1" x14ac:dyDescent="0.3">
      <c r="B55" s="975"/>
      <c r="C55" s="94"/>
      <c r="D55" s="40" t="s">
        <v>529</v>
      </c>
      <c r="E55" s="766" t="s">
        <v>2309</v>
      </c>
      <c r="F55" s="5"/>
      <c r="G55" s="5"/>
      <c r="H55" s="5"/>
      <c r="I55" s="5"/>
      <c r="J55" s="5"/>
      <c r="K55" s="5"/>
    </row>
    <row r="56" spans="2:11" ht="15.75" thickBot="1" x14ac:dyDescent="0.3">
      <c r="B56" s="975"/>
      <c r="C56" s="94"/>
      <c r="D56" s="40" t="s">
        <v>531</v>
      </c>
      <c r="E56" s="337">
        <v>5748960</v>
      </c>
      <c r="F56" s="5"/>
      <c r="G56" s="5"/>
      <c r="H56" s="5"/>
      <c r="I56" s="5"/>
      <c r="J56" s="5"/>
      <c r="K56" s="5"/>
    </row>
    <row r="57" spans="2:11" ht="36.75" thickBot="1" x14ac:dyDescent="0.3">
      <c r="B57" s="976"/>
      <c r="C57" s="2"/>
      <c r="D57" s="40" t="s">
        <v>678</v>
      </c>
      <c r="E57" s="337" t="s">
        <v>2312</v>
      </c>
      <c r="F57" s="5"/>
      <c r="G57" s="5"/>
      <c r="H57" s="5"/>
      <c r="I57" s="5"/>
      <c r="J57" s="5"/>
      <c r="K57" s="5"/>
    </row>
    <row r="58" spans="2:11" ht="15.75" thickBot="1" x14ac:dyDescent="0.3">
      <c r="B58" s="1"/>
      <c r="C58" s="76"/>
      <c r="D58" s="5"/>
      <c r="E58" s="5"/>
      <c r="F58" s="5"/>
      <c r="G58" s="5"/>
      <c r="H58" s="5"/>
      <c r="I58" s="5"/>
      <c r="J58" s="5"/>
      <c r="K58" s="5"/>
    </row>
    <row r="59" spans="2:11" ht="15.75" thickBot="1" x14ac:dyDescent="0.3">
      <c r="B59" s="971" t="s">
        <v>679</v>
      </c>
      <c r="C59" s="972"/>
      <c r="D59" s="972"/>
      <c r="E59" s="973"/>
      <c r="F59" s="5"/>
      <c r="G59" s="5"/>
      <c r="H59" s="5"/>
      <c r="I59" s="5"/>
      <c r="J59" s="5"/>
      <c r="K59" s="5"/>
    </row>
    <row r="60" spans="2:11" ht="15.75" thickBot="1" x14ac:dyDescent="0.3">
      <c r="B60" s="974">
        <v>1</v>
      </c>
      <c r="C60" s="94"/>
      <c r="D60" s="48" t="s">
        <v>676</v>
      </c>
      <c r="E60" s="126" t="s">
        <v>680</v>
      </c>
      <c r="F60" s="5"/>
      <c r="G60" s="5"/>
      <c r="H60" s="5"/>
      <c r="I60" s="5"/>
      <c r="J60" s="5"/>
      <c r="K60" s="5"/>
    </row>
    <row r="61" spans="2:11" ht="15.75" thickBot="1" x14ac:dyDescent="0.3">
      <c r="B61" s="975"/>
      <c r="C61" s="94"/>
      <c r="D61" s="40" t="s">
        <v>525</v>
      </c>
      <c r="E61" s="126" t="s">
        <v>681</v>
      </c>
      <c r="F61" s="5"/>
      <c r="G61" s="5"/>
      <c r="H61" s="5"/>
      <c r="I61" s="5"/>
      <c r="J61" s="5"/>
      <c r="K61" s="5"/>
    </row>
    <row r="62" spans="2:11" ht="15.75" thickBot="1" x14ac:dyDescent="0.3">
      <c r="B62" s="975"/>
      <c r="C62" s="94"/>
      <c r="D62" s="40" t="s">
        <v>677</v>
      </c>
      <c r="E62" s="166"/>
      <c r="F62" s="5"/>
      <c r="G62" s="5"/>
      <c r="H62" s="5"/>
      <c r="I62" s="5"/>
      <c r="J62" s="5"/>
      <c r="K62" s="5"/>
    </row>
    <row r="63" spans="2:11" ht="15.75" thickBot="1" x14ac:dyDescent="0.3">
      <c r="B63" s="975"/>
      <c r="C63" s="94"/>
      <c r="D63" s="40" t="s">
        <v>527</v>
      </c>
      <c r="E63" s="166"/>
      <c r="F63" s="5"/>
      <c r="G63" s="5"/>
      <c r="H63" s="5"/>
      <c r="I63" s="5"/>
      <c r="J63" s="5"/>
      <c r="K63" s="5"/>
    </row>
    <row r="64" spans="2:11" ht="15.75" thickBot="1" x14ac:dyDescent="0.3">
      <c r="B64" s="975"/>
      <c r="C64" s="94"/>
      <c r="D64" s="40" t="s">
        <v>529</v>
      </c>
      <c r="E64" s="166"/>
      <c r="F64" s="5"/>
      <c r="G64" s="5"/>
      <c r="H64" s="5"/>
      <c r="I64" s="5"/>
      <c r="J64" s="5"/>
      <c r="K64" s="5"/>
    </row>
    <row r="65" spans="2:11" ht="15.75" thickBot="1" x14ac:dyDescent="0.3">
      <c r="B65" s="975"/>
      <c r="C65" s="94"/>
      <c r="D65" s="40" t="s">
        <v>531</v>
      </c>
      <c r="E65" s="166"/>
      <c r="F65" s="5"/>
      <c r="G65" s="5"/>
      <c r="H65" s="5"/>
      <c r="I65" s="5"/>
      <c r="J65" s="5"/>
      <c r="K65" s="5"/>
    </row>
    <row r="66" spans="2:11" ht="15.75" thickBot="1" x14ac:dyDescent="0.3">
      <c r="B66" s="976"/>
      <c r="C66" s="2"/>
      <c r="D66" s="40" t="s">
        <v>678</v>
      </c>
      <c r="E66" s="166"/>
      <c r="F66" s="5"/>
      <c r="G66" s="5"/>
      <c r="H66" s="5"/>
      <c r="I66" s="5"/>
      <c r="J66" s="5"/>
      <c r="K66" s="5"/>
    </row>
    <row r="67" spans="2:11" ht="15.75" thickBot="1" x14ac:dyDescent="0.3">
      <c r="B67" s="1"/>
      <c r="C67" s="76"/>
      <c r="D67" s="5"/>
      <c r="E67" s="5"/>
      <c r="F67" s="5"/>
      <c r="G67" s="5"/>
      <c r="H67" s="5"/>
      <c r="I67" s="5"/>
      <c r="J67" s="5"/>
      <c r="K67" s="5"/>
    </row>
    <row r="68" spans="2:11" ht="15.75" thickBot="1" x14ac:dyDescent="0.3">
      <c r="B68" s="971" t="s">
        <v>682</v>
      </c>
      <c r="C68" s="972"/>
      <c r="D68" s="972"/>
      <c r="E68" s="972"/>
      <c r="F68" s="973"/>
      <c r="G68" s="5"/>
      <c r="H68" s="5"/>
      <c r="I68" s="5"/>
      <c r="J68" s="5"/>
      <c r="K68" s="5"/>
    </row>
    <row r="69" spans="2:11" ht="24.75" thickBot="1" x14ac:dyDescent="0.3">
      <c r="B69" s="47" t="s">
        <v>683</v>
      </c>
      <c r="C69" s="40" t="s">
        <v>684</v>
      </c>
      <c r="D69" s="40" t="s">
        <v>685</v>
      </c>
      <c r="E69" s="40" t="s">
        <v>686</v>
      </c>
      <c r="F69" s="5"/>
      <c r="G69" s="5"/>
      <c r="H69" s="5"/>
      <c r="I69" s="5"/>
      <c r="J69" s="5"/>
    </row>
    <row r="70" spans="2:11" ht="84.75" thickBot="1" x14ac:dyDescent="0.3">
      <c r="B70" s="49">
        <v>42401</v>
      </c>
      <c r="C70" s="40">
        <v>0.01</v>
      </c>
      <c r="D70" s="50" t="s">
        <v>1334</v>
      </c>
      <c r="E70" s="40"/>
      <c r="F70" s="5"/>
      <c r="G70" s="5"/>
      <c r="H70" s="5"/>
      <c r="I70" s="5"/>
      <c r="J70" s="5"/>
    </row>
    <row r="71" spans="2:11" ht="15.75" thickBot="1" x14ac:dyDescent="0.3">
      <c r="B71" s="3"/>
      <c r="C71" s="95"/>
      <c r="D71" s="5"/>
      <c r="E71" s="5"/>
      <c r="F71" s="5"/>
      <c r="G71" s="5"/>
      <c r="H71" s="5"/>
      <c r="I71" s="5"/>
      <c r="J71" s="5"/>
      <c r="K71" s="5"/>
    </row>
    <row r="72" spans="2:11" x14ac:dyDescent="0.25">
      <c r="B72" s="129" t="s">
        <v>593</v>
      </c>
      <c r="C72" s="96"/>
      <c r="D72" s="5"/>
      <c r="E72" s="5"/>
      <c r="F72" s="5"/>
      <c r="G72" s="5"/>
      <c r="H72" s="5"/>
      <c r="I72" s="5"/>
      <c r="J72" s="5"/>
      <c r="K72" s="5"/>
    </row>
    <row r="73" spans="2:11" x14ac:dyDescent="0.25">
      <c r="B73" s="1124"/>
      <c r="C73" s="1125"/>
      <c r="D73" s="1125"/>
      <c r="E73" s="1125"/>
      <c r="F73" s="1126"/>
      <c r="G73" s="5"/>
      <c r="H73" s="5"/>
      <c r="I73" s="5"/>
      <c r="J73" s="5"/>
      <c r="K73" s="5"/>
    </row>
    <row r="74" spans="2:11" x14ac:dyDescent="0.25">
      <c r="B74" s="1127"/>
      <c r="C74" s="1128"/>
      <c r="D74" s="1128"/>
      <c r="E74" s="1128"/>
      <c r="F74" s="1129"/>
      <c r="G74" s="5"/>
      <c r="H74" s="5"/>
      <c r="I74" s="5"/>
      <c r="J74" s="5"/>
      <c r="K74" s="5"/>
    </row>
    <row r="75" spans="2:11" x14ac:dyDescent="0.25">
      <c r="B75" s="1"/>
      <c r="C75" s="76"/>
      <c r="D75" s="5"/>
      <c r="E75" s="5"/>
      <c r="F75" s="5"/>
      <c r="G75" s="5"/>
      <c r="H75" s="5"/>
      <c r="I75" s="5"/>
      <c r="J75" s="5"/>
      <c r="K75" s="5"/>
    </row>
    <row r="76" spans="2:11" ht="15.75" thickBot="1" x14ac:dyDescent="0.3">
      <c r="B76" s="5"/>
      <c r="D76" s="5"/>
      <c r="E76" s="5"/>
      <c r="F76" s="5"/>
      <c r="G76" s="5"/>
      <c r="H76" s="5"/>
      <c r="I76" s="5"/>
      <c r="J76" s="5"/>
      <c r="K76" s="5"/>
    </row>
    <row r="77" spans="2:11" ht="24.75" thickBot="1" x14ac:dyDescent="0.3">
      <c r="B77" s="51" t="s">
        <v>688</v>
      </c>
      <c r="C77" s="97"/>
      <c r="D77" s="5"/>
      <c r="E77" s="5"/>
      <c r="F77" s="5"/>
      <c r="G77" s="5"/>
      <c r="H77" s="5"/>
      <c r="I77" s="5"/>
      <c r="J77" s="5"/>
      <c r="K77" s="5"/>
    </row>
    <row r="78" spans="2:11" ht="15.75" thickBot="1" x14ac:dyDescent="0.3">
      <c r="B78" s="37"/>
      <c r="C78" s="88"/>
      <c r="D78" s="5"/>
      <c r="E78" s="5"/>
      <c r="F78" s="5"/>
      <c r="G78" s="5"/>
      <c r="H78" s="5"/>
      <c r="I78" s="5"/>
      <c r="J78" s="5"/>
      <c r="K78" s="5"/>
    </row>
    <row r="79" spans="2:11" ht="84.75" thickBot="1" x14ac:dyDescent="0.3">
      <c r="B79" s="52" t="s">
        <v>689</v>
      </c>
      <c r="C79" s="98"/>
      <c r="D79" s="43" t="s">
        <v>1335</v>
      </c>
      <c r="E79" s="5"/>
      <c r="F79" s="5"/>
      <c r="G79" s="5"/>
      <c r="H79" s="5"/>
      <c r="I79" s="5"/>
      <c r="J79" s="5"/>
      <c r="K79" s="5"/>
    </row>
    <row r="80" spans="2:11" x14ac:dyDescent="0.25">
      <c r="B80" s="974" t="s">
        <v>691</v>
      </c>
      <c r="C80" s="94"/>
      <c r="D80" s="53" t="s">
        <v>692</v>
      </c>
      <c r="E80" s="5"/>
      <c r="F80" s="5"/>
      <c r="G80" s="5"/>
      <c r="H80" s="5"/>
      <c r="I80" s="5"/>
      <c r="J80" s="5"/>
      <c r="K80" s="5"/>
    </row>
    <row r="81" spans="2:11" ht="120" x14ac:dyDescent="0.25">
      <c r="B81" s="975"/>
      <c r="C81" s="94"/>
      <c r="D81" s="46" t="s">
        <v>1336</v>
      </c>
      <c r="E81" s="5"/>
      <c r="F81" s="5"/>
      <c r="G81" s="5"/>
      <c r="H81" s="5"/>
      <c r="I81" s="5"/>
      <c r="J81" s="5"/>
      <c r="K81" s="5"/>
    </row>
    <row r="82" spans="2:11" x14ac:dyDescent="0.25">
      <c r="B82" s="975"/>
      <c r="C82" s="94"/>
      <c r="D82" s="53" t="s">
        <v>695</v>
      </c>
      <c r="E82" s="5"/>
      <c r="F82" s="5"/>
      <c r="G82" s="5"/>
      <c r="H82" s="5"/>
      <c r="I82" s="5"/>
      <c r="J82" s="5"/>
      <c r="K82" s="5"/>
    </row>
    <row r="83" spans="2:11" x14ac:dyDescent="0.25">
      <c r="B83" s="975"/>
      <c r="C83" s="94"/>
      <c r="D83" s="46" t="s">
        <v>1337</v>
      </c>
      <c r="E83" s="5"/>
      <c r="F83" s="5"/>
      <c r="G83" s="5"/>
      <c r="H83" s="5"/>
      <c r="I83" s="5"/>
      <c r="J83" s="5"/>
      <c r="K83" s="5"/>
    </row>
    <row r="84" spans="2:11" ht="24" x14ac:dyDescent="0.25">
      <c r="B84" s="975"/>
      <c r="C84" s="94"/>
      <c r="D84" s="46" t="s">
        <v>1338</v>
      </c>
      <c r="E84" s="5"/>
      <c r="F84" s="5"/>
      <c r="G84" s="5"/>
      <c r="H84" s="5"/>
      <c r="I84" s="5"/>
      <c r="J84" s="5"/>
      <c r="K84" s="5"/>
    </row>
    <row r="85" spans="2:11" x14ac:dyDescent="0.25">
      <c r="B85" s="975"/>
      <c r="C85" s="94"/>
      <c r="D85" s="53" t="s">
        <v>923</v>
      </c>
      <c r="E85" s="5"/>
      <c r="F85" s="5"/>
      <c r="G85" s="5"/>
      <c r="H85" s="5"/>
      <c r="I85" s="5"/>
      <c r="J85" s="5"/>
      <c r="K85" s="5"/>
    </row>
    <row r="86" spans="2:11" ht="24" x14ac:dyDescent="0.25">
      <c r="B86" s="975"/>
      <c r="C86" s="94"/>
      <c r="D86" s="46" t="s">
        <v>1339</v>
      </c>
      <c r="E86" s="5"/>
      <c r="F86" s="5"/>
      <c r="G86" s="5"/>
      <c r="H86" s="5"/>
      <c r="I86" s="5"/>
      <c r="J86" s="5"/>
      <c r="K86" s="5"/>
    </row>
    <row r="87" spans="2:11" ht="24.75" thickBot="1" x14ac:dyDescent="0.3">
      <c r="B87" s="976"/>
      <c r="C87" s="2"/>
      <c r="D87" s="40" t="s">
        <v>1340</v>
      </c>
      <c r="E87" s="5"/>
      <c r="F87" s="5"/>
      <c r="G87" s="5"/>
      <c r="H87" s="5"/>
      <c r="I87" s="5"/>
      <c r="J87" s="5"/>
      <c r="K87" s="5"/>
    </row>
    <row r="88" spans="2:11" ht="24.75" thickBot="1" x14ac:dyDescent="0.3">
      <c r="B88" s="47" t="s">
        <v>704</v>
      </c>
      <c r="C88" s="2"/>
      <c r="D88" s="40"/>
      <c r="E88" s="5"/>
      <c r="F88" s="5"/>
      <c r="G88" s="5"/>
      <c r="H88" s="5"/>
      <c r="I88" s="5"/>
      <c r="J88" s="5"/>
      <c r="K88" s="5"/>
    </row>
    <row r="89" spans="2:11" ht="108" x14ac:dyDescent="0.25">
      <c r="B89" s="974" t="s">
        <v>705</v>
      </c>
      <c r="C89" s="94"/>
      <c r="D89" s="46" t="s">
        <v>1341</v>
      </c>
      <c r="E89" s="5"/>
      <c r="F89" s="5"/>
      <c r="G89" s="5"/>
      <c r="H89" s="5"/>
      <c r="I89" s="5"/>
      <c r="J89" s="5"/>
      <c r="K89" s="5"/>
    </row>
    <row r="90" spans="2:11" x14ac:dyDescent="0.25">
      <c r="B90" s="975"/>
      <c r="C90" s="94"/>
      <c r="D90" s="46" t="s">
        <v>1342</v>
      </c>
      <c r="E90" s="5"/>
      <c r="F90" s="5"/>
      <c r="G90" s="5"/>
      <c r="H90" s="5"/>
      <c r="I90" s="5"/>
      <c r="J90" s="5"/>
      <c r="K90" s="5"/>
    </row>
    <row r="91" spans="2:11" ht="108" x14ac:dyDescent="0.25">
      <c r="B91" s="975"/>
      <c r="C91" s="94"/>
      <c r="D91" s="46" t="s">
        <v>1343</v>
      </c>
      <c r="E91" s="5"/>
      <c r="F91" s="5"/>
      <c r="G91" s="5"/>
      <c r="H91" s="5"/>
      <c r="I91" s="5"/>
      <c r="J91" s="5"/>
      <c r="K91" s="5"/>
    </row>
    <row r="92" spans="2:11" ht="108" x14ac:dyDescent="0.25">
      <c r="B92" s="975"/>
      <c r="C92" s="94"/>
      <c r="D92" s="46" t="s">
        <v>1344</v>
      </c>
      <c r="E92" s="5"/>
      <c r="F92" s="5"/>
      <c r="G92" s="5"/>
      <c r="H92" s="5"/>
      <c r="I92" s="5"/>
      <c r="J92" s="5"/>
      <c r="K92" s="5"/>
    </row>
    <row r="93" spans="2:11" ht="108" x14ac:dyDescent="0.25">
      <c r="B93" s="975"/>
      <c r="C93" s="94"/>
      <c r="D93" s="46" t="s">
        <v>1345</v>
      </c>
      <c r="E93" s="5"/>
      <c r="F93" s="5"/>
      <c r="G93" s="5"/>
      <c r="H93" s="5"/>
      <c r="I93" s="5"/>
      <c r="J93" s="5"/>
      <c r="K93" s="5"/>
    </row>
    <row r="94" spans="2:11" ht="84" x14ac:dyDescent="0.25">
      <c r="B94" s="975"/>
      <c r="C94" s="94"/>
      <c r="D94" s="46" t="s">
        <v>1346</v>
      </c>
      <c r="E94" s="5"/>
      <c r="F94" s="5"/>
      <c r="G94" s="5"/>
      <c r="H94" s="5"/>
      <c r="I94" s="5"/>
      <c r="J94" s="5"/>
      <c r="K94" s="5"/>
    </row>
    <row r="95" spans="2:11" ht="84" x14ac:dyDescent="0.25">
      <c r="B95" s="975"/>
      <c r="C95" s="94"/>
      <c r="D95" s="46" t="s">
        <v>1347</v>
      </c>
      <c r="E95" s="5"/>
      <c r="F95" s="5"/>
      <c r="G95" s="5"/>
      <c r="H95" s="5"/>
      <c r="I95" s="5"/>
      <c r="J95" s="5"/>
      <c r="K95" s="5"/>
    </row>
    <row r="96" spans="2:11" ht="216" x14ac:dyDescent="0.25">
      <c r="B96" s="975"/>
      <c r="C96" s="94"/>
      <c r="D96" s="46" t="s">
        <v>1348</v>
      </c>
      <c r="E96" s="5"/>
      <c r="F96" s="5"/>
      <c r="G96" s="5"/>
      <c r="H96" s="5"/>
      <c r="I96" s="5"/>
      <c r="J96" s="5"/>
      <c r="K96" s="5"/>
    </row>
    <row r="97" spans="2:11" ht="168" x14ac:dyDescent="0.25">
      <c r="B97" s="975"/>
      <c r="C97" s="94"/>
      <c r="D97" s="46" t="s">
        <v>1349</v>
      </c>
      <c r="E97" s="5"/>
      <c r="F97" s="5"/>
      <c r="G97" s="5"/>
      <c r="H97" s="5"/>
      <c r="I97" s="5"/>
      <c r="J97" s="5"/>
      <c r="K97" s="5"/>
    </row>
    <row r="98" spans="2:11" ht="24" x14ac:dyDescent="0.25">
      <c r="B98" s="975"/>
      <c r="C98" s="94"/>
      <c r="D98" s="46" t="s">
        <v>1350</v>
      </c>
      <c r="E98" s="5"/>
      <c r="F98" s="5"/>
      <c r="G98" s="5"/>
      <c r="H98" s="5"/>
      <c r="I98" s="5"/>
      <c r="J98" s="5"/>
      <c r="K98" s="5"/>
    </row>
    <row r="99" spans="2:11" ht="24" x14ac:dyDescent="0.25">
      <c r="B99" s="975"/>
      <c r="C99" s="94"/>
      <c r="D99" s="25" t="s">
        <v>1351</v>
      </c>
      <c r="E99" s="5"/>
      <c r="F99" s="5"/>
      <c r="G99" s="5"/>
      <c r="H99" s="5"/>
      <c r="I99" s="5"/>
      <c r="J99" s="5"/>
      <c r="K99" s="5"/>
    </row>
    <row r="100" spans="2:11" ht="36" x14ac:dyDescent="0.25">
      <c r="B100" s="975"/>
      <c r="C100" s="94"/>
      <c r="D100" s="25" t="s">
        <v>1352</v>
      </c>
      <c r="E100" s="5"/>
      <c r="F100" s="5"/>
      <c r="G100" s="5"/>
      <c r="H100" s="5"/>
      <c r="I100" s="5"/>
      <c r="J100" s="5"/>
      <c r="K100" s="5"/>
    </row>
    <row r="101" spans="2:11" ht="48" x14ac:dyDescent="0.25">
      <c r="B101" s="975"/>
      <c r="C101" s="94"/>
      <c r="D101" s="25" t="s">
        <v>1353</v>
      </c>
      <c r="E101" s="5"/>
      <c r="F101" s="5"/>
      <c r="G101" s="5"/>
      <c r="H101" s="5"/>
      <c r="I101" s="5"/>
      <c r="J101" s="5"/>
      <c r="K101" s="5"/>
    </row>
    <row r="102" spans="2:11" ht="144" x14ac:dyDescent="0.25">
      <c r="B102" s="975"/>
      <c r="C102" s="94"/>
      <c r="D102" s="46" t="s">
        <v>1354</v>
      </c>
      <c r="E102" s="5"/>
      <c r="F102" s="5"/>
      <c r="G102" s="5"/>
      <c r="H102" s="5"/>
      <c r="I102" s="5"/>
      <c r="J102" s="5"/>
      <c r="K102" s="5"/>
    </row>
    <row r="103" spans="2:11" ht="60" x14ac:dyDescent="0.25">
      <c r="B103" s="975"/>
      <c r="C103" s="94"/>
      <c r="D103" s="46" t="s">
        <v>1355</v>
      </c>
      <c r="E103" s="5"/>
      <c r="F103" s="5"/>
      <c r="G103" s="5"/>
      <c r="H103" s="5"/>
      <c r="I103" s="5"/>
      <c r="J103" s="5"/>
      <c r="K103" s="5"/>
    </row>
    <row r="104" spans="2:11" ht="36" x14ac:dyDescent="0.25">
      <c r="B104" s="975"/>
      <c r="C104" s="94"/>
      <c r="D104" s="46" t="s">
        <v>1356</v>
      </c>
      <c r="E104" s="5"/>
      <c r="F104" s="5"/>
      <c r="G104" s="5"/>
      <c r="H104" s="5"/>
      <c r="I104" s="5"/>
      <c r="J104" s="5"/>
      <c r="K104" s="5"/>
    </row>
    <row r="105" spans="2:11" ht="60" x14ac:dyDescent="0.25">
      <c r="B105" s="975"/>
      <c r="C105" s="94"/>
      <c r="D105" s="61" t="s">
        <v>1357</v>
      </c>
      <c r="E105" s="5"/>
      <c r="F105" s="5"/>
      <c r="G105" s="5"/>
      <c r="H105" s="5"/>
      <c r="I105" s="5"/>
      <c r="J105" s="5"/>
      <c r="K105" s="5"/>
    </row>
    <row r="106" spans="2:11" ht="24" x14ac:dyDescent="0.25">
      <c r="B106" s="975"/>
      <c r="C106" s="94"/>
      <c r="D106" s="61" t="s">
        <v>1358</v>
      </c>
      <c r="E106" s="5"/>
      <c r="F106" s="5"/>
      <c r="G106" s="5"/>
      <c r="H106" s="5"/>
      <c r="I106" s="5"/>
      <c r="J106" s="5"/>
      <c r="K106" s="5"/>
    </row>
    <row r="107" spans="2:11" ht="24" x14ac:dyDescent="0.25">
      <c r="B107" s="975"/>
      <c r="C107" s="94"/>
      <c r="D107" s="61" t="s">
        <v>1359</v>
      </c>
      <c r="E107" s="5"/>
      <c r="F107" s="5"/>
      <c r="G107" s="5"/>
      <c r="H107" s="5"/>
      <c r="I107" s="5"/>
      <c r="J107" s="5"/>
      <c r="K107" s="5"/>
    </row>
    <row r="108" spans="2:11" ht="36.75" thickBot="1" x14ac:dyDescent="0.3">
      <c r="B108" s="976"/>
      <c r="C108" s="2"/>
      <c r="D108" s="62" t="s">
        <v>1360</v>
      </c>
      <c r="E108" s="5"/>
      <c r="F108" s="5"/>
      <c r="G108" s="5"/>
      <c r="H108" s="5"/>
      <c r="I108" s="5"/>
      <c r="J108" s="5"/>
      <c r="K108" s="5"/>
    </row>
    <row r="109" spans="2:11" ht="36" x14ac:dyDescent="0.25">
      <c r="B109" s="974" t="s">
        <v>722</v>
      </c>
      <c r="C109" s="94"/>
      <c r="D109" s="53" t="s">
        <v>1361</v>
      </c>
      <c r="E109" s="5"/>
      <c r="F109" s="5"/>
      <c r="G109" s="5"/>
      <c r="H109" s="5"/>
      <c r="I109" s="5"/>
      <c r="J109" s="5"/>
      <c r="K109" s="5"/>
    </row>
    <row r="110" spans="2:11" x14ac:dyDescent="0.25">
      <c r="B110" s="975"/>
      <c r="C110" s="94"/>
      <c r="D110" s="16"/>
      <c r="E110" s="5"/>
      <c r="F110" s="5"/>
      <c r="G110" s="5"/>
      <c r="H110" s="5"/>
      <c r="I110" s="5"/>
      <c r="J110" s="5"/>
      <c r="K110" s="5"/>
    </row>
    <row r="111" spans="2:11" x14ac:dyDescent="0.25">
      <c r="B111" s="975"/>
      <c r="C111" s="94"/>
      <c r="D111" s="46" t="s">
        <v>723</v>
      </c>
      <c r="E111" s="5"/>
      <c r="F111" s="5"/>
      <c r="G111" s="5"/>
      <c r="H111" s="5"/>
      <c r="I111" s="5"/>
      <c r="J111" s="5"/>
      <c r="K111" s="5"/>
    </row>
    <row r="112" spans="2:11" ht="49.5" x14ac:dyDescent="0.25">
      <c r="B112" s="975"/>
      <c r="C112" s="94"/>
      <c r="D112" s="46" t="s">
        <v>1362</v>
      </c>
      <c r="E112" s="5"/>
      <c r="F112" s="5"/>
      <c r="G112" s="5"/>
      <c r="H112" s="5"/>
      <c r="I112" s="5"/>
      <c r="J112" s="5"/>
      <c r="K112" s="5"/>
    </row>
    <row r="113" spans="2:11" ht="37.5" x14ac:dyDescent="0.25">
      <c r="B113" s="975"/>
      <c r="C113" s="94"/>
      <c r="D113" s="46" t="s">
        <v>1363</v>
      </c>
      <c r="E113" s="5"/>
      <c r="F113" s="5"/>
      <c r="G113" s="5"/>
      <c r="H113" s="5"/>
      <c r="I113" s="5"/>
      <c r="J113" s="5"/>
      <c r="K113" s="5"/>
    </row>
    <row r="114" spans="2:11" ht="49.5" x14ac:dyDescent="0.25">
      <c r="B114" s="975"/>
      <c r="C114" s="94"/>
      <c r="D114" s="46" t="s">
        <v>1364</v>
      </c>
      <c r="E114" s="5"/>
      <c r="F114" s="5"/>
      <c r="G114" s="5"/>
      <c r="H114" s="5"/>
      <c r="I114" s="5"/>
      <c r="J114" s="5"/>
      <c r="K114" s="5"/>
    </row>
    <row r="115" spans="2:11" x14ac:dyDescent="0.25">
      <c r="B115" s="975"/>
      <c r="C115" s="94"/>
      <c r="D115" s="53" t="s">
        <v>866</v>
      </c>
      <c r="E115" s="5"/>
      <c r="F115" s="5"/>
      <c r="G115" s="5"/>
      <c r="H115" s="5"/>
      <c r="I115" s="5"/>
      <c r="J115" s="5"/>
      <c r="K115" s="5"/>
    </row>
    <row r="116" spans="2:11" ht="48" x14ac:dyDescent="0.25">
      <c r="B116" s="975"/>
      <c r="C116" s="94"/>
      <c r="D116" s="53" t="s">
        <v>1323</v>
      </c>
      <c r="E116" s="5"/>
      <c r="F116" s="5"/>
      <c r="G116" s="5"/>
      <c r="H116" s="5"/>
      <c r="I116" s="5"/>
      <c r="J116" s="5"/>
      <c r="K116" s="5"/>
    </row>
    <row r="117" spans="2:11" x14ac:dyDescent="0.25">
      <c r="B117" s="975"/>
      <c r="C117" s="94"/>
      <c r="D117" s="16"/>
      <c r="E117" s="5"/>
      <c r="F117" s="5"/>
      <c r="G117" s="5"/>
      <c r="H117" s="5"/>
      <c r="I117" s="5"/>
      <c r="J117" s="5"/>
      <c r="K117" s="5"/>
    </row>
    <row r="118" spans="2:11" x14ac:dyDescent="0.25">
      <c r="B118" s="975"/>
      <c r="C118" s="94"/>
      <c r="D118" s="46" t="s">
        <v>723</v>
      </c>
      <c r="E118" s="5"/>
      <c r="F118" s="5"/>
      <c r="G118" s="5"/>
      <c r="H118" s="5"/>
      <c r="I118" s="5"/>
      <c r="J118" s="5"/>
      <c r="K118" s="5"/>
    </row>
    <row r="119" spans="2:11" ht="61.5" x14ac:dyDescent="0.25">
      <c r="B119" s="975"/>
      <c r="C119" s="94"/>
      <c r="D119" s="46" t="s">
        <v>1365</v>
      </c>
      <c r="E119" s="5"/>
      <c r="F119" s="5"/>
      <c r="G119" s="5"/>
      <c r="H119" s="5"/>
      <c r="I119" s="5"/>
      <c r="J119" s="5"/>
      <c r="K119" s="5"/>
    </row>
    <row r="120" spans="2:11" ht="61.5" x14ac:dyDescent="0.25">
      <c r="B120" s="975"/>
      <c r="C120" s="94"/>
      <c r="D120" s="46" t="s">
        <v>1366</v>
      </c>
      <c r="E120" s="5"/>
      <c r="F120" s="5"/>
      <c r="G120" s="5"/>
      <c r="H120" s="5"/>
      <c r="I120" s="5"/>
      <c r="J120" s="5"/>
      <c r="K120" s="5"/>
    </row>
    <row r="121" spans="2:11" ht="62.25" thickBot="1" x14ac:dyDescent="0.3">
      <c r="B121" s="976"/>
      <c r="C121" s="2"/>
      <c r="D121" s="40" t="s">
        <v>1367</v>
      </c>
      <c r="E121" s="5"/>
      <c r="F121" s="5"/>
      <c r="G121" s="5"/>
      <c r="H121" s="5"/>
      <c r="I121" s="5"/>
      <c r="J121" s="5"/>
      <c r="K121" s="5"/>
    </row>
    <row r="122" spans="2:11" x14ac:dyDescent="0.25">
      <c r="B122" s="5"/>
      <c r="D122" s="5"/>
      <c r="E122" s="5"/>
      <c r="F122" s="5"/>
      <c r="G122" s="5"/>
      <c r="H122" s="5"/>
      <c r="I122" s="5"/>
      <c r="J122" s="5"/>
      <c r="K122" s="5"/>
    </row>
    <row r="123" spans="2:11" x14ac:dyDescent="0.25">
      <c r="B123" s="5"/>
      <c r="D123" s="5"/>
      <c r="E123" s="5"/>
      <c r="F123" s="5"/>
      <c r="G123" s="5"/>
      <c r="H123" s="5"/>
      <c r="I123" s="5"/>
      <c r="J123" s="5"/>
      <c r="K123" s="5"/>
    </row>
    <row r="124" spans="2:11" x14ac:dyDescent="0.25">
      <c r="B124" s="5"/>
      <c r="D124" s="5"/>
      <c r="E124" s="5"/>
      <c r="F124" s="5"/>
      <c r="G124" s="5"/>
      <c r="H124" s="5"/>
      <c r="I124" s="5"/>
      <c r="J124" s="5"/>
      <c r="K124" s="5"/>
    </row>
    <row r="125" spans="2:11" x14ac:dyDescent="0.25">
      <c r="B125" s="5"/>
      <c r="D125" s="5"/>
      <c r="E125" s="5"/>
      <c r="F125" s="5"/>
      <c r="G125" s="5"/>
      <c r="H125" s="5"/>
      <c r="I125" s="5"/>
      <c r="J125" s="5"/>
      <c r="K125" s="5"/>
    </row>
    <row r="126" spans="2:11" x14ac:dyDescent="0.25">
      <c r="B126" s="5"/>
      <c r="D126" s="5"/>
      <c r="E126" s="5"/>
      <c r="F126" s="5"/>
      <c r="G126" s="5"/>
      <c r="H126" s="5"/>
      <c r="I126" s="5"/>
      <c r="J126" s="5"/>
      <c r="K126" s="5"/>
    </row>
    <row r="127" spans="2:11" x14ac:dyDescent="0.25">
      <c r="B127" s="5"/>
      <c r="D127" s="5"/>
      <c r="E127" s="5"/>
      <c r="F127" s="5"/>
      <c r="G127" s="5"/>
      <c r="H127" s="5"/>
      <c r="I127" s="5"/>
      <c r="J127" s="5"/>
      <c r="K127" s="5"/>
    </row>
    <row r="128" spans="2:11" x14ac:dyDescent="0.25">
      <c r="B128" s="5"/>
      <c r="D128" s="5"/>
      <c r="E128" s="5"/>
      <c r="F128" s="5"/>
      <c r="G128" s="5"/>
      <c r="H128" s="5"/>
      <c r="I128" s="5"/>
      <c r="J128" s="5"/>
      <c r="K128" s="5"/>
    </row>
    <row r="129" spans="2:11" x14ac:dyDescent="0.25">
      <c r="B129" s="5"/>
      <c r="D129" s="5"/>
      <c r="E129" s="5"/>
      <c r="F129" s="5"/>
      <c r="G129" s="5"/>
      <c r="H129" s="5"/>
      <c r="I129" s="5"/>
      <c r="J129" s="5"/>
      <c r="K129" s="5"/>
    </row>
    <row r="130" spans="2:11" x14ac:dyDescent="0.25">
      <c r="B130" s="5"/>
      <c r="D130" s="5"/>
      <c r="E130" s="5"/>
      <c r="F130" s="5"/>
      <c r="G130" s="5"/>
      <c r="H130" s="5"/>
      <c r="I130" s="5"/>
      <c r="J130" s="5"/>
      <c r="K130" s="5"/>
    </row>
    <row r="131" spans="2:11" x14ac:dyDescent="0.25">
      <c r="B131" s="5"/>
      <c r="D131" s="5"/>
      <c r="E131" s="5"/>
      <c r="F131" s="5"/>
      <c r="G131" s="5"/>
      <c r="H131" s="5"/>
      <c r="I131" s="5"/>
      <c r="J131" s="5"/>
      <c r="K131" s="5"/>
    </row>
    <row r="132" spans="2:11" x14ac:dyDescent="0.25">
      <c r="B132" s="5"/>
      <c r="D132" s="5"/>
      <c r="E132" s="5"/>
      <c r="F132" s="5"/>
      <c r="G132" s="5"/>
      <c r="H132" s="5"/>
      <c r="I132" s="5"/>
      <c r="J132" s="5"/>
      <c r="K132" s="5"/>
    </row>
    <row r="133" spans="2:11" x14ac:dyDescent="0.25">
      <c r="B133" s="5"/>
      <c r="D133" s="5"/>
      <c r="E133" s="5"/>
      <c r="F133" s="5"/>
      <c r="G133" s="5"/>
      <c r="H133" s="5"/>
      <c r="I133" s="5"/>
      <c r="J133" s="5"/>
      <c r="K133" s="5"/>
    </row>
    <row r="134" spans="2:11" x14ac:dyDescent="0.25">
      <c r="B134" s="5"/>
      <c r="D134" s="5"/>
      <c r="E134" s="5"/>
      <c r="F134" s="5"/>
      <c r="G134" s="5"/>
      <c r="H134" s="5"/>
      <c r="I134" s="5"/>
      <c r="J134" s="5"/>
      <c r="K134" s="5"/>
    </row>
    <row r="135" spans="2:11" x14ac:dyDescent="0.25">
      <c r="B135" s="5"/>
      <c r="D135" s="5"/>
      <c r="E135" s="5"/>
      <c r="F135" s="5"/>
      <c r="G135" s="5"/>
      <c r="H135" s="5"/>
      <c r="I135" s="5"/>
      <c r="J135" s="5"/>
      <c r="K135" s="5"/>
    </row>
    <row r="136" spans="2:11" x14ac:dyDescent="0.25">
      <c r="B136" s="5"/>
      <c r="D136" s="5"/>
      <c r="E136" s="5"/>
      <c r="F136" s="5"/>
      <c r="G136" s="5"/>
      <c r="H136" s="5"/>
      <c r="I136" s="5"/>
      <c r="J136" s="5"/>
      <c r="K136" s="5"/>
    </row>
    <row r="137" spans="2:11" x14ac:dyDescent="0.25">
      <c r="B137" s="5"/>
      <c r="D137" s="5"/>
      <c r="E137" s="5"/>
      <c r="F137" s="5"/>
      <c r="G137" s="5"/>
      <c r="H137" s="5"/>
      <c r="I137" s="5"/>
      <c r="J137" s="5"/>
      <c r="K137" s="5"/>
    </row>
    <row r="138" spans="2:11" x14ac:dyDescent="0.25">
      <c r="B138" s="5"/>
      <c r="D138" s="5"/>
      <c r="E138" s="5"/>
      <c r="F138" s="5"/>
      <c r="G138" s="5"/>
      <c r="H138" s="5"/>
      <c r="I138" s="5"/>
      <c r="J138" s="5"/>
      <c r="K138" s="5"/>
    </row>
    <row r="139" spans="2:11" x14ac:dyDescent="0.25">
      <c r="B139" s="5"/>
      <c r="D139" s="5"/>
      <c r="E139" s="5"/>
      <c r="F139" s="5"/>
      <c r="G139" s="5"/>
      <c r="H139" s="5"/>
      <c r="I139" s="5"/>
      <c r="J139" s="5"/>
      <c r="K139" s="5"/>
    </row>
    <row r="140" spans="2:11" x14ac:dyDescent="0.25">
      <c r="B140" s="5"/>
      <c r="D140" s="5"/>
      <c r="E140" s="5"/>
      <c r="F140" s="5"/>
      <c r="G140" s="5"/>
      <c r="H140" s="5"/>
      <c r="I140" s="5"/>
      <c r="J140" s="5"/>
      <c r="K140" s="5"/>
    </row>
    <row r="141" spans="2:11" x14ac:dyDescent="0.25">
      <c r="B141" s="5"/>
      <c r="D141" s="5"/>
      <c r="E141" s="5"/>
      <c r="F141" s="5"/>
      <c r="G141" s="5"/>
      <c r="H141" s="5"/>
      <c r="I141" s="5"/>
      <c r="J141" s="5"/>
      <c r="K141" s="5"/>
    </row>
    <row r="142" spans="2:11" x14ac:dyDescent="0.25">
      <c r="B142" s="5"/>
      <c r="D142" s="5"/>
      <c r="E142" s="5"/>
      <c r="F142" s="5"/>
      <c r="G142" s="5"/>
      <c r="H142" s="5"/>
      <c r="I142" s="5"/>
      <c r="J142" s="5"/>
      <c r="K142" s="5"/>
    </row>
    <row r="143" spans="2:11" x14ac:dyDescent="0.25">
      <c r="B143" s="5"/>
      <c r="D143" s="5"/>
      <c r="E143" s="5"/>
      <c r="F143" s="5"/>
      <c r="G143" s="5"/>
      <c r="H143" s="5"/>
      <c r="I143" s="5"/>
      <c r="J143" s="5"/>
      <c r="K143" s="5"/>
    </row>
    <row r="144" spans="2:11" x14ac:dyDescent="0.25">
      <c r="B144" s="5"/>
      <c r="D144" s="5"/>
      <c r="E144" s="5"/>
      <c r="F144" s="5"/>
      <c r="G144" s="5"/>
      <c r="H144" s="5"/>
      <c r="I144" s="5"/>
      <c r="J144" s="5"/>
      <c r="K144" s="5"/>
    </row>
    <row r="145" spans="2:11" x14ac:dyDescent="0.25">
      <c r="B145" s="5"/>
      <c r="D145" s="5"/>
      <c r="E145" s="5"/>
      <c r="F145" s="5"/>
      <c r="G145" s="5"/>
      <c r="H145" s="5"/>
      <c r="I145" s="5"/>
      <c r="J145" s="5"/>
      <c r="K145" s="5"/>
    </row>
    <row r="146" spans="2:11" x14ac:dyDescent="0.25">
      <c r="B146" s="5"/>
      <c r="D146" s="5"/>
      <c r="E146" s="5"/>
      <c r="F146" s="5"/>
      <c r="G146" s="5"/>
      <c r="H146" s="5"/>
      <c r="I146" s="5"/>
      <c r="J146" s="5"/>
      <c r="K146" s="5"/>
    </row>
    <row r="147" spans="2:11" x14ac:dyDescent="0.25">
      <c r="B147" s="5"/>
      <c r="D147" s="5"/>
      <c r="E147" s="5"/>
      <c r="F147" s="5"/>
      <c r="G147" s="5"/>
      <c r="H147" s="5"/>
      <c r="I147" s="5"/>
      <c r="J147" s="5"/>
      <c r="K147" s="5"/>
    </row>
    <row r="148" spans="2:11" x14ac:dyDescent="0.25">
      <c r="B148" s="5"/>
      <c r="D148" s="5"/>
      <c r="E148" s="5"/>
      <c r="F148" s="5"/>
      <c r="G148" s="5"/>
      <c r="H148" s="5"/>
      <c r="I148" s="5"/>
      <c r="J148" s="5"/>
      <c r="K148" s="5"/>
    </row>
    <row r="149" spans="2:11" x14ac:dyDescent="0.25">
      <c r="B149" s="5"/>
      <c r="D149" s="5"/>
      <c r="E149" s="5"/>
      <c r="F149" s="5"/>
      <c r="G149" s="5"/>
      <c r="H149" s="5"/>
      <c r="I149" s="5"/>
      <c r="J149" s="5"/>
      <c r="K149" s="5"/>
    </row>
    <row r="150" spans="2:11" x14ac:dyDescent="0.25">
      <c r="B150" s="5"/>
      <c r="D150" s="5"/>
      <c r="E150" s="5"/>
      <c r="F150" s="5"/>
      <c r="G150" s="5"/>
      <c r="H150" s="5"/>
      <c r="I150" s="5"/>
      <c r="J150" s="5"/>
      <c r="K150" s="5"/>
    </row>
    <row r="151" spans="2:11" x14ac:dyDescent="0.25">
      <c r="B151" s="5"/>
      <c r="D151" s="5"/>
      <c r="E151" s="5"/>
      <c r="F151" s="5"/>
      <c r="G151" s="5"/>
      <c r="H151" s="5"/>
      <c r="I151" s="5"/>
      <c r="J151" s="5"/>
      <c r="K151" s="5"/>
    </row>
    <row r="152" spans="2:11" x14ac:dyDescent="0.25">
      <c r="B152" s="5"/>
      <c r="D152" s="5"/>
      <c r="E152" s="5"/>
      <c r="F152" s="5"/>
      <c r="G152" s="5"/>
      <c r="H152" s="5"/>
      <c r="I152" s="5"/>
      <c r="J152" s="5"/>
      <c r="K152" s="5"/>
    </row>
    <row r="153" spans="2:11" x14ac:dyDescent="0.25">
      <c r="B153" s="5"/>
      <c r="D153" s="5"/>
      <c r="E153" s="5"/>
      <c r="F153" s="5"/>
      <c r="G153" s="5"/>
      <c r="H153" s="5"/>
      <c r="I153" s="5"/>
      <c r="J153" s="5"/>
      <c r="K153" s="5"/>
    </row>
    <row r="154" spans="2:11" x14ac:dyDescent="0.25">
      <c r="B154" s="5"/>
      <c r="D154" s="5"/>
      <c r="E154" s="5"/>
      <c r="F154" s="5"/>
      <c r="G154" s="5"/>
      <c r="H154" s="5"/>
      <c r="I154" s="5"/>
      <c r="J154" s="5"/>
      <c r="K154" s="5"/>
    </row>
    <row r="155" spans="2:11" x14ac:dyDescent="0.25">
      <c r="B155" s="5"/>
      <c r="D155" s="5"/>
      <c r="E155" s="5"/>
      <c r="F155" s="5"/>
      <c r="G155" s="5"/>
      <c r="H155" s="5"/>
      <c r="I155" s="5"/>
      <c r="J155" s="5"/>
      <c r="K155" s="5"/>
    </row>
    <row r="156" spans="2:11" x14ac:dyDescent="0.25">
      <c r="B156" s="5"/>
      <c r="D156" s="5"/>
      <c r="E156" s="5"/>
      <c r="F156" s="5"/>
      <c r="G156" s="5"/>
      <c r="H156" s="5"/>
      <c r="I156" s="5"/>
      <c r="J156" s="5"/>
      <c r="K156" s="5"/>
    </row>
    <row r="157" spans="2:11" x14ac:dyDescent="0.25">
      <c r="B157" s="5"/>
      <c r="D157" s="5"/>
      <c r="E157" s="5"/>
      <c r="F157" s="5"/>
      <c r="G157" s="5"/>
      <c r="H157" s="5"/>
      <c r="I157" s="5"/>
      <c r="J157" s="5"/>
      <c r="K157" s="5"/>
    </row>
    <row r="158" spans="2:11" x14ac:dyDescent="0.25">
      <c r="B158" s="5"/>
      <c r="D158" s="5"/>
      <c r="E158" s="5"/>
      <c r="F158" s="5"/>
      <c r="G158" s="5"/>
      <c r="H158" s="5"/>
      <c r="I158" s="5"/>
      <c r="J158" s="5"/>
      <c r="K158" s="5"/>
    </row>
    <row r="159" spans="2:11" x14ac:dyDescent="0.25">
      <c r="B159" s="5"/>
      <c r="D159" s="5"/>
      <c r="E159" s="5"/>
      <c r="F159" s="5"/>
      <c r="G159" s="5"/>
      <c r="H159" s="5"/>
      <c r="I159" s="5"/>
      <c r="J159" s="5"/>
      <c r="K159" s="5"/>
    </row>
    <row r="160" spans="2:11" x14ac:dyDescent="0.25">
      <c r="B160" s="5"/>
      <c r="D160" s="5"/>
      <c r="E160" s="5"/>
      <c r="F160" s="5"/>
      <c r="G160" s="5"/>
      <c r="H160" s="5"/>
      <c r="I160" s="5"/>
      <c r="J160" s="5"/>
      <c r="K160" s="5"/>
    </row>
    <row r="161" spans="2:11" x14ac:dyDescent="0.25">
      <c r="B161" s="5"/>
      <c r="D161" s="5"/>
      <c r="E161" s="5"/>
      <c r="F161" s="5"/>
      <c r="G161" s="5"/>
      <c r="H161" s="5"/>
      <c r="I161" s="5"/>
      <c r="J161" s="5"/>
      <c r="K161" s="5"/>
    </row>
    <row r="162" spans="2:11" x14ac:dyDescent="0.25">
      <c r="B162" s="5"/>
      <c r="D162" s="5"/>
      <c r="E162" s="5"/>
      <c r="F162" s="5"/>
      <c r="G162" s="5"/>
      <c r="H162" s="5"/>
      <c r="I162" s="5"/>
      <c r="J162" s="5"/>
      <c r="K162" s="5"/>
    </row>
    <row r="163" spans="2:11" x14ac:dyDescent="0.25">
      <c r="B163" s="5"/>
      <c r="D163" s="5"/>
      <c r="E163" s="5"/>
      <c r="F163" s="5"/>
      <c r="G163" s="5"/>
      <c r="H163" s="5"/>
      <c r="I163" s="5"/>
      <c r="J163" s="5"/>
      <c r="K163" s="5"/>
    </row>
    <row r="164" spans="2:11" x14ac:dyDescent="0.25">
      <c r="B164" s="5"/>
      <c r="D164" s="5"/>
      <c r="E164" s="5"/>
      <c r="F164" s="5"/>
      <c r="G164" s="5"/>
      <c r="H164" s="5"/>
      <c r="I164" s="5"/>
      <c r="J164" s="5"/>
      <c r="K164" s="5"/>
    </row>
    <row r="165" spans="2:11" x14ac:dyDescent="0.25">
      <c r="B165" s="5"/>
      <c r="D165" s="5"/>
      <c r="E165" s="5"/>
      <c r="F165" s="5"/>
      <c r="G165" s="5"/>
      <c r="H165" s="5"/>
      <c r="I165" s="5"/>
      <c r="J165" s="5"/>
      <c r="K165" s="5"/>
    </row>
    <row r="166" spans="2:11" x14ac:dyDescent="0.25">
      <c r="B166" s="5"/>
      <c r="D166" s="5"/>
      <c r="E166" s="5"/>
      <c r="F166" s="5"/>
      <c r="G166" s="5"/>
      <c r="H166" s="5"/>
      <c r="I166" s="5"/>
      <c r="J166" s="5"/>
      <c r="K166" s="5"/>
    </row>
    <row r="167" spans="2:11" x14ac:dyDescent="0.25">
      <c r="B167" s="5"/>
      <c r="D167" s="5"/>
      <c r="E167" s="5"/>
      <c r="F167" s="5"/>
      <c r="G167" s="5"/>
      <c r="H167" s="5"/>
      <c r="I167" s="5"/>
      <c r="J167" s="5"/>
      <c r="K167" s="5"/>
    </row>
    <row r="168" spans="2:11" x14ac:dyDescent="0.25">
      <c r="B168" s="5"/>
      <c r="D168" s="5"/>
      <c r="E168" s="5"/>
      <c r="F168" s="5"/>
      <c r="G168" s="5"/>
      <c r="H168" s="5"/>
      <c r="I168" s="5"/>
      <c r="J168" s="5"/>
      <c r="K168" s="5"/>
    </row>
    <row r="169" spans="2:11" x14ac:dyDescent="0.25">
      <c r="B169" s="5"/>
      <c r="D169" s="5"/>
      <c r="E169" s="5"/>
      <c r="F169" s="5"/>
      <c r="G169" s="5"/>
      <c r="H169" s="5"/>
      <c r="I169" s="5"/>
      <c r="J169" s="5"/>
      <c r="K169" s="5"/>
    </row>
    <row r="170" spans="2:11" x14ac:dyDescent="0.25">
      <c r="B170" s="5"/>
      <c r="D170" s="5"/>
      <c r="E170" s="5"/>
      <c r="F170" s="5"/>
      <c r="G170" s="5"/>
      <c r="H170" s="5"/>
      <c r="I170" s="5"/>
      <c r="J170" s="5"/>
      <c r="K170" s="5"/>
    </row>
    <row r="171" spans="2:11" x14ac:dyDescent="0.25">
      <c r="B171" s="5"/>
      <c r="D171" s="5"/>
      <c r="E171" s="5"/>
      <c r="F171" s="5"/>
      <c r="G171" s="5"/>
      <c r="H171" s="5"/>
      <c r="I171" s="5"/>
      <c r="J171" s="5"/>
      <c r="K171" s="5"/>
    </row>
    <row r="172" spans="2:11" x14ac:dyDescent="0.25">
      <c r="B172" s="5"/>
      <c r="D172" s="5"/>
      <c r="E172" s="5"/>
      <c r="F172" s="5"/>
      <c r="G172" s="5"/>
      <c r="H172" s="5"/>
      <c r="I172" s="5"/>
      <c r="J172" s="5"/>
      <c r="K172" s="5"/>
    </row>
    <row r="173" spans="2:11" x14ac:dyDescent="0.25">
      <c r="B173" s="5"/>
      <c r="D173" s="5"/>
      <c r="E173" s="5"/>
      <c r="F173" s="5"/>
      <c r="G173" s="5"/>
      <c r="H173" s="5"/>
      <c r="I173" s="5"/>
      <c r="J173" s="5"/>
      <c r="K173" s="5"/>
    </row>
    <row r="174" spans="2:11" x14ac:dyDescent="0.25">
      <c r="B174" s="5"/>
      <c r="D174" s="5"/>
      <c r="E174" s="5"/>
      <c r="F174" s="5"/>
      <c r="G174" s="5"/>
      <c r="H174" s="5"/>
      <c r="I174" s="5"/>
      <c r="J174" s="5"/>
      <c r="K174" s="5"/>
    </row>
    <row r="175" spans="2:11" x14ac:dyDescent="0.25">
      <c r="B175" s="5"/>
      <c r="D175" s="5"/>
      <c r="E175" s="5"/>
      <c r="F175" s="5"/>
      <c r="G175" s="5"/>
      <c r="H175" s="5"/>
      <c r="I175" s="5"/>
      <c r="J175" s="5"/>
      <c r="K175" s="5"/>
    </row>
    <row r="176" spans="2:11" x14ac:dyDescent="0.25">
      <c r="B176" s="5"/>
      <c r="D176" s="5"/>
      <c r="E176" s="5"/>
      <c r="F176" s="5"/>
      <c r="G176" s="5"/>
      <c r="H176" s="5"/>
      <c r="I176" s="5"/>
      <c r="J176" s="5"/>
      <c r="K176" s="5"/>
    </row>
    <row r="177" spans="2:11" x14ac:dyDescent="0.25">
      <c r="B177" s="5"/>
      <c r="D177" s="5"/>
      <c r="E177" s="5"/>
      <c r="F177" s="5"/>
      <c r="G177" s="5"/>
      <c r="H177" s="5"/>
      <c r="I177" s="5"/>
      <c r="J177" s="5"/>
      <c r="K177" s="5"/>
    </row>
    <row r="178" spans="2:11" x14ac:dyDescent="0.25">
      <c r="B178" s="5"/>
      <c r="D178" s="5"/>
      <c r="E178" s="5"/>
      <c r="F178" s="5"/>
      <c r="G178" s="5"/>
      <c r="H178" s="5"/>
      <c r="I178" s="5"/>
      <c r="J178" s="5"/>
      <c r="K178" s="5"/>
    </row>
    <row r="179" spans="2:11" x14ac:dyDescent="0.25">
      <c r="B179" s="5"/>
      <c r="D179" s="5"/>
      <c r="E179" s="5"/>
      <c r="F179" s="5"/>
      <c r="G179" s="5"/>
      <c r="H179" s="5"/>
      <c r="I179" s="5"/>
      <c r="J179" s="5"/>
      <c r="K179" s="5"/>
    </row>
    <row r="180" spans="2:11" x14ac:dyDescent="0.25">
      <c r="B180" s="5"/>
      <c r="D180" s="5"/>
      <c r="E180" s="5"/>
      <c r="F180" s="5"/>
      <c r="G180" s="5"/>
      <c r="H180" s="5"/>
      <c r="I180" s="5"/>
      <c r="J180" s="5"/>
      <c r="K180" s="5"/>
    </row>
  </sheetData>
  <sheetProtection insertRows="0"/>
  <mergeCells count="40">
    <mergeCell ref="B10:D10"/>
    <mergeCell ref="F10:S10"/>
    <mergeCell ref="F11:S11"/>
    <mergeCell ref="E12:R12"/>
    <mergeCell ref="A1:P1"/>
    <mergeCell ref="A2:P2"/>
    <mergeCell ref="A3:P3"/>
    <mergeCell ref="A4:D4"/>
    <mergeCell ref="A5:P5"/>
    <mergeCell ref="B89:B108"/>
    <mergeCell ref="D16:K16"/>
    <mergeCell ref="D21:K21"/>
    <mergeCell ref="G37:G38"/>
    <mergeCell ref="B73:F74"/>
    <mergeCell ref="B68:F68"/>
    <mergeCell ref="D22:K22"/>
    <mergeCell ref="D23:K23"/>
    <mergeCell ref="D34:K34"/>
    <mergeCell ref="D35:K35"/>
    <mergeCell ref="B50:E50"/>
    <mergeCell ref="B51:B57"/>
    <mergeCell ref="F24:F26"/>
    <mergeCell ref="G24:J24"/>
    <mergeCell ref="B15:B20"/>
    <mergeCell ref="E13:R13"/>
    <mergeCell ref="B109:B121"/>
    <mergeCell ref="C24:C26"/>
    <mergeCell ref="D24:D26"/>
    <mergeCell ref="E24:E26"/>
    <mergeCell ref="B80:B87"/>
    <mergeCell ref="B59:E59"/>
    <mergeCell ref="B60:B66"/>
    <mergeCell ref="D36:D38"/>
    <mergeCell ref="E36:F36"/>
    <mergeCell ref="E37:E38"/>
    <mergeCell ref="H25:H26"/>
    <mergeCell ref="I25:I26"/>
    <mergeCell ref="J25:J26"/>
    <mergeCell ref="C36:C38"/>
    <mergeCell ref="D15:K15"/>
  </mergeCells>
  <conditionalFormatting sqref="D45">
    <cfRule type="containsText" dxfId="52" priority="5" operator="containsText" text="ERROR">
      <formula>NOT(ISERROR(SEARCH("ERROR",D45)))</formula>
    </cfRule>
  </conditionalFormatting>
  <conditionalFormatting sqref="E12:R12">
    <cfRule type="expression" dxfId="51" priority="1">
      <formula>E11="SI SE REPORTA"</formula>
    </cfRule>
  </conditionalFormatting>
  <conditionalFormatting sqref="F10">
    <cfRule type="notContainsBlanks" dxfId="50" priority="4">
      <formula>LEN(TRIM(F10))&gt;0</formula>
    </cfRule>
  </conditionalFormatting>
  <conditionalFormatting sqref="F11:S11">
    <cfRule type="expression" dxfId="49" priority="2">
      <formula>E11="NO SE REPORTA"</formula>
    </cfRule>
    <cfRule type="expression" dxfId="48" priority="3">
      <formula>E10="NO APLICA"</formula>
    </cfRule>
  </conditionalFormatting>
  <dataValidations count="8">
    <dataValidation type="decimal" operator="greaterThanOrEqual" allowBlank="1" showInputMessage="1" showErrorMessage="1" prompt="ERROR - Valor en PESOS (sin centavos)" sqref="G27" xr:uid="{41FE0654-F9D1-44B4-996B-69873BD8AF4A}">
      <formula1>0</formula1>
    </dataValidation>
    <dataValidation type="decimal" operator="greaterThanOrEqual" allowBlank="1" showInputMessage="1" showErrorMessage="1" prompt="ERROR - Escriba un número igual o mayor que 0" sqref="E18:E19" xr:uid="{5FC407BA-9175-4EC6-BA18-C14518801AA7}">
      <formula1>0</formula1>
    </dataValidation>
    <dataValidation type="list" allowBlank="1" showInputMessage="1" showErrorMessage="1" sqref="E10" xr:uid="{00000000-0002-0000-1A00-000005000000}">
      <formula1>SI</formula1>
    </dataValidation>
    <dataValidation type="list" allowBlank="1" showInputMessage="1" showErrorMessage="1" sqref="E11" xr:uid="{00000000-0002-0000-1A00-000004000000}">
      <formula1>REPORTE</formula1>
    </dataValidation>
    <dataValidation allowBlank="1" showInputMessage="1" showErrorMessage="1" sqref="D45 I18:I19 G33:J33 E39:F45" xr:uid="{00000000-0002-0000-1A00-000003000000}"/>
    <dataValidation type="decimal" allowBlank="1" showInputMessage="1" showErrorMessage="1" errorTitle="ERROR" error="Escriba un valor entre 0% y 100%" sqref="D39:D44" xr:uid="{00000000-0002-0000-1A00-000002000000}">
      <formula1>0</formula1>
      <formula2>1</formula2>
    </dataValidation>
    <dataValidation type="whole" operator="greaterThanOrEqual" allowBlank="1" showInputMessage="1" showErrorMessage="1" errorTitle="ERROR" error="Valor en PESOS (sin centavos)" sqref="H27:J32 G28:G32" xr:uid="{00000000-0002-0000-1A00-000001000000}">
      <formula1>0</formula1>
    </dataValidation>
    <dataValidation type="whole" operator="greaterThanOrEqual" allowBlank="1" showErrorMessage="1" errorTitle="ERROR" error="Escriba un número igual o mayor que 0" promptTitle="ERROR" prompt="Escriba un número igual o mayor que 0" sqref="F18:H19" xr:uid="{00000000-0002-0000-1A00-000000000000}">
      <formula1>0</formula1>
    </dataValidation>
  </dataValidations>
  <hyperlinks>
    <hyperlink ref="B9" location="'ANEXO 3'!A1" display="VOLVER AL INDICE" xr:uid="{F0AF2F4F-96AE-4C8E-9EA6-701A8962309E}"/>
    <hyperlink ref="E55" r:id="rId1" xr:uid="{79BEE16F-0CC1-495F-80B4-95C5C729FCB3}"/>
  </hyperlinks>
  <pageMargins left="0.25" right="0.25" top="0.75" bottom="0.75" header="0.3" footer="0.3"/>
  <pageSetup paperSize="178" orientation="landscape" horizontalDpi="1200" verticalDpi="120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FEC7-80AB-4CB2-B383-AA41AC114F4E}">
  <dimension ref="A1:U178"/>
  <sheetViews>
    <sheetView showGridLines="0" topLeftCell="A18" zoomScale="98" zoomScaleNormal="98" workbookViewId="0">
      <selection activeCell="D18" sqref="D18:I18"/>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24.85546875" customWidth="1"/>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28</v>
      </c>
      <c r="B5" s="998"/>
      <c r="C5" s="998"/>
      <c r="D5" s="998"/>
      <c r="E5" s="998"/>
      <c r="F5" s="998"/>
      <c r="G5" s="998"/>
      <c r="H5" s="998"/>
      <c r="I5" s="998"/>
      <c r="J5" s="998"/>
      <c r="K5" s="998"/>
      <c r="L5" s="998"/>
      <c r="M5" s="998"/>
      <c r="N5" s="998"/>
      <c r="O5" s="998"/>
      <c r="P5" s="999"/>
    </row>
    <row r="6" spans="1:21" x14ac:dyDescent="0.25">
      <c r="B6" s="1" t="s">
        <v>626</v>
      </c>
      <c r="C6" s="76"/>
      <c r="D6" s="5"/>
      <c r="E6" s="74"/>
      <c r="F6" s="5" t="s">
        <v>627</v>
      </c>
      <c r="G6" s="5"/>
      <c r="H6" s="5"/>
      <c r="I6" s="5"/>
      <c r="J6" s="5"/>
      <c r="K6" s="5"/>
    </row>
    <row r="7" spans="1:21" ht="15.75" thickBot="1" x14ac:dyDescent="0.3">
      <c r="B7" s="75"/>
      <c r="C7" s="77"/>
      <c r="D7" s="5"/>
      <c r="E7" s="17"/>
      <c r="F7" s="5" t="s">
        <v>628</v>
      </c>
      <c r="G7" s="5"/>
      <c r="H7" s="5"/>
      <c r="I7" s="5"/>
      <c r="J7" s="5"/>
      <c r="K7" s="5"/>
    </row>
    <row r="8" spans="1:21" ht="15.75" thickBot="1" x14ac:dyDescent="0.3">
      <c r="B8" s="170" t="s">
        <v>629</v>
      </c>
      <c r="C8" s="211">
        <v>2024</v>
      </c>
      <c r="D8" s="216">
        <f>IF(E10="NO APLICA","NO APLICA",IF(E11="NO SE REPORTA","SIN INFORMACION",+I30))</f>
        <v>0</v>
      </c>
      <c r="E8" s="212"/>
      <c r="F8" s="5" t="s">
        <v>630</v>
      </c>
      <c r="G8" s="5"/>
      <c r="H8" s="5"/>
      <c r="I8" s="5"/>
      <c r="J8" s="5"/>
      <c r="K8" s="5"/>
    </row>
    <row r="9" spans="1:21" x14ac:dyDescent="0.25">
      <c r="B9" s="358" t="s">
        <v>631</v>
      </c>
      <c r="D9" s="5"/>
      <c r="E9" s="5"/>
      <c r="F9" s="5"/>
      <c r="G9" s="5"/>
      <c r="H9" s="5"/>
      <c r="I9" s="5"/>
      <c r="J9" s="5"/>
      <c r="K9" s="5"/>
    </row>
    <row r="10" spans="1:21" x14ac:dyDescent="0.25">
      <c r="B10" s="1008" t="s">
        <v>632</v>
      </c>
      <c r="C10" s="1008"/>
      <c r="D10" s="1008"/>
      <c r="E10" s="361" t="s">
        <v>633</v>
      </c>
      <c r="F10" s="99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96"/>
      <c r="H10" s="996"/>
      <c r="I10" s="996"/>
      <c r="J10" s="996"/>
      <c r="K10" s="996"/>
      <c r="L10" s="996"/>
      <c r="M10" s="996"/>
      <c r="N10" s="996"/>
      <c r="O10" s="996"/>
      <c r="P10" s="996"/>
      <c r="Q10" s="996"/>
      <c r="R10" s="996"/>
      <c r="S10" s="996"/>
      <c r="T10" s="5"/>
      <c r="U10" s="5"/>
    </row>
    <row r="11" spans="1:21" ht="14.45" customHeight="1" x14ac:dyDescent="0.25">
      <c r="B11" s="360"/>
      <c r="C11" s="88"/>
      <c r="D11" s="171" t="str">
        <f>IF(E10="SI APLICA","¿El indicador no se reporta por limitaciones de información disponible? ","")</f>
        <v xml:space="preserve">¿El indicador no se reporta por limitaciones de información disponible? </v>
      </c>
      <c r="E11" s="362" t="s">
        <v>634</v>
      </c>
      <c r="F11" s="1009"/>
      <c r="G11" s="1010"/>
      <c r="H11" s="1010"/>
      <c r="I11" s="1010"/>
      <c r="J11" s="1010"/>
      <c r="K11" s="1010"/>
      <c r="L11" s="1010"/>
      <c r="M11" s="1010"/>
      <c r="N11" s="1010"/>
      <c r="O11" s="1010"/>
      <c r="P11" s="1010"/>
      <c r="Q11" s="1010"/>
      <c r="R11" s="1010"/>
      <c r="S11" s="1010"/>
    </row>
    <row r="12" spans="1:21" ht="23.45" customHeight="1" x14ac:dyDescent="0.25">
      <c r="B12" s="358"/>
      <c r="C12" s="88"/>
      <c r="D12" s="171" t="str">
        <f>IF(E11="SI SE REPORTA","¿Qué programas o proyectos del Plan de Acción están asociados al indicador? ","")</f>
        <v xml:space="preserve">¿Qué programas o proyectos del Plan de Acción están asociados al indicador? </v>
      </c>
      <c r="E12" s="1011" t="s">
        <v>2363</v>
      </c>
      <c r="F12" s="1011"/>
      <c r="G12" s="1011"/>
      <c r="H12" s="1011"/>
      <c r="I12" s="1011"/>
      <c r="J12" s="1011"/>
      <c r="K12" s="1011"/>
      <c r="L12" s="1011"/>
      <c r="M12" s="1011"/>
      <c r="N12" s="1011"/>
      <c r="O12" s="1011"/>
      <c r="P12" s="1011"/>
      <c r="Q12" s="1011"/>
      <c r="R12" s="1011"/>
    </row>
    <row r="13" spans="1:21" ht="21.95" customHeight="1" x14ac:dyDescent="0.25">
      <c r="B13" s="358"/>
      <c r="C13" s="88"/>
      <c r="D13" s="171" t="s">
        <v>635</v>
      </c>
      <c r="E13" s="1012"/>
      <c r="F13" s="1013"/>
      <c r="G13" s="1013"/>
      <c r="H13" s="1013"/>
      <c r="I13" s="1013"/>
      <c r="J13" s="1013"/>
      <c r="K13" s="1013"/>
      <c r="L13" s="1013"/>
      <c r="M13" s="1013"/>
      <c r="N13" s="1013"/>
      <c r="O13" s="1013"/>
      <c r="P13" s="1013"/>
      <c r="Q13" s="1013"/>
      <c r="R13" s="1014"/>
    </row>
    <row r="14" spans="1:21" ht="6.95" customHeight="1" thickBot="1" x14ac:dyDescent="0.3">
      <c r="B14" s="358"/>
      <c r="D14" s="5"/>
      <c r="E14" s="5"/>
      <c r="F14" s="5"/>
      <c r="G14" s="5"/>
      <c r="H14" s="5"/>
      <c r="I14" s="5"/>
      <c r="J14" s="5"/>
      <c r="K14" s="5"/>
    </row>
    <row r="15" spans="1:21" ht="15" customHeight="1" thickTop="1" x14ac:dyDescent="0.25">
      <c r="B15" s="1044" t="s">
        <v>636</v>
      </c>
      <c r="C15" s="89"/>
      <c r="D15" s="956" t="s">
        <v>940</v>
      </c>
      <c r="E15" s="957"/>
      <c r="F15" s="957"/>
      <c r="G15" s="957"/>
      <c r="H15" s="957"/>
      <c r="I15" s="957"/>
      <c r="J15" s="957"/>
      <c r="K15" s="957"/>
      <c r="L15" s="1078"/>
    </row>
    <row r="16" spans="1:21" ht="15.75" thickBot="1" x14ac:dyDescent="0.3">
      <c r="B16" s="951"/>
      <c r="C16" s="92"/>
      <c r="D16" s="1116" t="s">
        <v>1368</v>
      </c>
      <c r="E16" s="1117"/>
      <c r="F16" s="1117"/>
      <c r="G16" s="1117"/>
      <c r="H16" s="1117"/>
      <c r="I16" s="1117"/>
      <c r="J16" s="1117"/>
      <c r="K16" s="1117"/>
      <c r="L16" s="1146"/>
    </row>
    <row r="17" spans="2:12" ht="15.75" thickBot="1" x14ac:dyDescent="0.3">
      <c r="B17" s="951"/>
      <c r="C17" s="90" t="s">
        <v>585</v>
      </c>
      <c r="D17" s="38" t="s">
        <v>849</v>
      </c>
      <c r="E17" s="38" t="s">
        <v>587</v>
      </c>
      <c r="F17" s="38" t="s">
        <v>588</v>
      </c>
      <c r="G17" s="38" t="s">
        <v>589</v>
      </c>
      <c r="H17" s="38" t="s">
        <v>590</v>
      </c>
      <c r="I17" s="38" t="s">
        <v>1251</v>
      </c>
      <c r="J17" s="5"/>
      <c r="L17" s="21"/>
    </row>
    <row r="18" spans="2:12" ht="24.75" thickBot="1" x14ac:dyDescent="0.3">
      <c r="B18" s="951"/>
      <c r="C18" s="91" t="s">
        <v>765</v>
      </c>
      <c r="D18" s="40" t="s">
        <v>1369</v>
      </c>
      <c r="E18" s="6">
        <v>1</v>
      </c>
      <c r="F18" s="6">
        <v>2</v>
      </c>
      <c r="G18" s="6">
        <v>1</v>
      </c>
      <c r="H18" s="6">
        <v>1</v>
      </c>
      <c r="I18" s="144">
        <f>SUM(E18:H18)</f>
        <v>5</v>
      </c>
      <c r="J18" s="5"/>
      <c r="L18" s="21"/>
    </row>
    <row r="19" spans="2:12" x14ac:dyDescent="0.25">
      <c r="B19" s="951"/>
      <c r="C19" s="92"/>
      <c r="D19" s="962"/>
      <c r="E19" s="963"/>
      <c r="F19" s="963"/>
      <c r="G19" s="963"/>
      <c r="H19" s="963"/>
      <c r="I19" s="963"/>
      <c r="J19" s="963"/>
      <c r="K19" s="963"/>
      <c r="L19" s="1079"/>
    </row>
    <row r="20" spans="2:12" ht="15.75" thickBot="1" x14ac:dyDescent="0.3">
      <c r="B20" s="218"/>
      <c r="C20" s="92"/>
      <c r="D20" s="962" t="s">
        <v>1370</v>
      </c>
      <c r="E20" s="963"/>
      <c r="F20" s="963"/>
      <c r="G20" s="963"/>
      <c r="H20" s="963"/>
      <c r="I20" s="963"/>
      <c r="J20" s="963"/>
      <c r="K20" s="963"/>
      <c r="L20" s="1079"/>
    </row>
    <row r="21" spans="2:12" ht="15.75" thickBot="1" x14ac:dyDescent="0.3">
      <c r="B21" s="218"/>
      <c r="C21" s="1045" t="s">
        <v>585</v>
      </c>
      <c r="D21" s="974" t="s">
        <v>868</v>
      </c>
      <c r="E21" s="974" t="s">
        <v>1254</v>
      </c>
      <c r="F21" s="1143" t="s">
        <v>1255</v>
      </c>
      <c r="G21" s="1144"/>
      <c r="H21" s="1144"/>
      <c r="I21" s="1144"/>
      <c r="J21" s="1145"/>
      <c r="L21" s="21"/>
    </row>
    <row r="22" spans="2:12" ht="36.75" thickBot="1" x14ac:dyDescent="0.3">
      <c r="B22" s="218"/>
      <c r="C22" s="1046"/>
      <c r="D22" s="976"/>
      <c r="E22" s="976"/>
      <c r="F22" s="40" t="s">
        <v>1256</v>
      </c>
      <c r="G22" s="40" t="s">
        <v>1257</v>
      </c>
      <c r="H22" s="40" t="s">
        <v>1258</v>
      </c>
      <c r="I22" s="40" t="s">
        <v>1259</v>
      </c>
      <c r="J22" s="40" t="s">
        <v>593</v>
      </c>
      <c r="L22" s="21"/>
    </row>
    <row r="23" spans="2:12" ht="24.75" thickBot="1" x14ac:dyDescent="0.3">
      <c r="B23" s="218"/>
      <c r="C23" s="128"/>
      <c r="D23" s="41" t="s">
        <v>1371</v>
      </c>
      <c r="E23" s="44" t="s">
        <v>1372</v>
      </c>
      <c r="F23" s="214"/>
      <c r="G23" s="214"/>
      <c r="H23" s="214"/>
      <c r="I23" s="148">
        <f t="shared" ref="I23:I29" si="0">+G23*H23</f>
        <v>0</v>
      </c>
      <c r="J23" s="30"/>
      <c r="L23" s="21"/>
    </row>
    <row r="24" spans="2:12" ht="36.75" thickBot="1" x14ac:dyDescent="0.3">
      <c r="B24" s="218"/>
      <c r="C24" s="128"/>
      <c r="D24" s="41" t="s">
        <v>1373</v>
      </c>
      <c r="E24" s="44" t="s">
        <v>1374</v>
      </c>
      <c r="F24" s="214"/>
      <c r="G24" s="214"/>
      <c r="H24" s="214"/>
      <c r="I24" s="148">
        <f t="shared" si="0"/>
        <v>0</v>
      </c>
      <c r="J24" s="30"/>
      <c r="L24" s="21"/>
    </row>
    <row r="25" spans="2:12" ht="36.75" thickBot="1" x14ac:dyDescent="0.3">
      <c r="B25" s="218"/>
      <c r="C25" s="128"/>
      <c r="D25" s="41" t="s">
        <v>1375</v>
      </c>
      <c r="E25" s="44" t="s">
        <v>1376</v>
      </c>
      <c r="F25" s="214"/>
      <c r="G25" s="214"/>
      <c r="H25" s="214"/>
      <c r="I25" s="148">
        <f t="shared" si="0"/>
        <v>0</v>
      </c>
      <c r="J25" s="30"/>
      <c r="L25" s="21"/>
    </row>
    <row r="26" spans="2:12" ht="24.75" thickBot="1" x14ac:dyDescent="0.3">
      <c r="B26" s="218"/>
      <c r="C26" s="128"/>
      <c r="D26" s="41" t="s">
        <v>1377</v>
      </c>
      <c r="E26" s="44" t="s">
        <v>1378</v>
      </c>
      <c r="F26" s="214"/>
      <c r="G26" s="214"/>
      <c r="H26" s="214"/>
      <c r="I26" s="148">
        <f t="shared" si="0"/>
        <v>0</v>
      </c>
      <c r="J26" s="30"/>
      <c r="L26" s="21"/>
    </row>
    <row r="27" spans="2:12" ht="24.75" thickBot="1" x14ac:dyDescent="0.3">
      <c r="B27" s="218"/>
      <c r="C27" s="128"/>
      <c r="D27" s="41" t="s">
        <v>1379</v>
      </c>
      <c r="E27" s="44" t="s">
        <v>1380</v>
      </c>
      <c r="F27" s="214"/>
      <c r="G27" s="214"/>
      <c r="H27" s="214"/>
      <c r="I27" s="148">
        <f t="shared" si="0"/>
        <v>0</v>
      </c>
      <c r="J27" s="30"/>
      <c r="L27" s="21"/>
    </row>
    <row r="28" spans="2:12" ht="24.75" thickBot="1" x14ac:dyDescent="0.3">
      <c r="B28" s="218"/>
      <c r="C28" s="128"/>
      <c r="D28" s="41" t="s">
        <v>1381</v>
      </c>
      <c r="E28" s="44" t="s">
        <v>1382</v>
      </c>
      <c r="F28" s="214"/>
      <c r="G28" s="214"/>
      <c r="H28" s="214"/>
      <c r="I28" s="148">
        <f t="shared" si="0"/>
        <v>0</v>
      </c>
      <c r="J28" s="30"/>
      <c r="L28" s="21"/>
    </row>
    <row r="29" spans="2:12" ht="24.75" thickBot="1" x14ac:dyDescent="0.3">
      <c r="B29" s="218"/>
      <c r="C29" s="128"/>
      <c r="D29" s="41" t="s">
        <v>1381</v>
      </c>
      <c r="E29" s="44" t="s">
        <v>1383</v>
      </c>
      <c r="F29" s="214"/>
      <c r="G29" s="214"/>
      <c r="H29" s="214"/>
      <c r="I29" s="148">
        <f t="shared" si="0"/>
        <v>0</v>
      </c>
      <c r="J29" s="30"/>
      <c r="L29" s="21"/>
    </row>
    <row r="30" spans="2:12" ht="15.75" thickBot="1" x14ac:dyDescent="0.3">
      <c r="B30" s="218"/>
      <c r="C30" s="94"/>
      <c r="D30" s="39"/>
      <c r="E30" s="39" t="s">
        <v>764</v>
      </c>
      <c r="F30" s="39"/>
      <c r="G30" s="39"/>
      <c r="H30" s="196" t="str">
        <f>[5]Formulas!$D$23</f>
        <v>ERROR: LA SUMA DE LA COLUMNA DEBE SER 100%</v>
      </c>
      <c r="I30" s="148">
        <f>[5]Formulas!$E$23</f>
        <v>0</v>
      </c>
      <c r="J30" s="30"/>
      <c r="L30" s="21"/>
    </row>
    <row r="31" spans="2:12" x14ac:dyDescent="0.25">
      <c r="B31" s="218"/>
      <c r="C31" s="92"/>
      <c r="D31" s="962" t="s">
        <v>1265</v>
      </c>
      <c r="E31" s="963"/>
      <c r="F31" s="963"/>
      <c r="G31" s="963"/>
      <c r="H31" s="963"/>
      <c r="I31" s="963"/>
      <c r="J31" s="963"/>
      <c r="K31" s="963"/>
      <c r="L31" s="1079"/>
    </row>
    <row r="32" spans="2:12" x14ac:dyDescent="0.25">
      <c r="B32" s="218"/>
      <c r="C32" s="92"/>
      <c r="D32" s="959" t="s">
        <v>866</v>
      </c>
      <c r="E32" s="960"/>
      <c r="F32" s="960"/>
      <c r="G32" s="960"/>
      <c r="H32" s="960"/>
      <c r="I32" s="960"/>
      <c r="J32" s="960"/>
      <c r="K32" s="960"/>
      <c r="L32" s="1080"/>
    </row>
    <row r="33" spans="2:12" ht="15.75" thickBot="1" x14ac:dyDescent="0.3">
      <c r="B33" s="218"/>
      <c r="C33" s="92"/>
      <c r="D33" s="953" t="s">
        <v>1384</v>
      </c>
      <c r="E33" s="954"/>
      <c r="F33" s="954"/>
      <c r="G33" s="954"/>
      <c r="H33" s="954"/>
      <c r="I33" s="954"/>
      <c r="J33" s="954"/>
      <c r="K33" s="954"/>
      <c r="L33" s="1142"/>
    </row>
    <row r="34" spans="2:12" ht="15.75" thickBot="1" x14ac:dyDescent="0.3">
      <c r="B34" s="218"/>
      <c r="C34" s="1045" t="s">
        <v>585</v>
      </c>
      <c r="D34" s="1068" t="s">
        <v>868</v>
      </c>
      <c r="E34" s="1068" t="s">
        <v>1254</v>
      </c>
      <c r="F34" s="1143" t="s">
        <v>1325</v>
      </c>
      <c r="G34" s="1144"/>
      <c r="H34" s="1144"/>
      <c r="I34" s="1144"/>
      <c r="J34" s="1144"/>
      <c r="K34" s="1145"/>
      <c r="L34" s="117"/>
    </row>
    <row r="35" spans="2:12" ht="23.25" thickBot="1" x14ac:dyDescent="0.3">
      <c r="B35" s="218"/>
      <c r="C35" s="1046"/>
      <c r="D35" s="1069"/>
      <c r="E35" s="1069"/>
      <c r="F35" s="65" t="s">
        <v>1385</v>
      </c>
      <c r="G35" s="66" t="s">
        <v>951</v>
      </c>
      <c r="H35" s="66" t="s">
        <v>872</v>
      </c>
      <c r="I35" s="66" t="s">
        <v>873</v>
      </c>
      <c r="J35" s="66" t="s">
        <v>1386</v>
      </c>
      <c r="K35" s="66" t="s">
        <v>1387</v>
      </c>
      <c r="L35" s="11"/>
    </row>
    <row r="36" spans="2:12" ht="24.75" thickBot="1" x14ac:dyDescent="0.3">
      <c r="B36" s="218"/>
      <c r="C36" s="340"/>
      <c r="D36" s="160" t="str">
        <f t="shared" ref="D36:E42" si="1">+D23</f>
        <v>Conocer e identificar la identificación de la base natural que soporta el territorio</v>
      </c>
      <c r="E36" s="337" t="str">
        <f t="shared" si="1"/>
        <v>Planificación y ordenamiento ambiental en áreas urbanas</v>
      </c>
      <c r="F36" s="341"/>
      <c r="G36" s="342"/>
      <c r="H36" s="343"/>
      <c r="I36" s="342"/>
      <c r="J36" s="143" t="e">
        <f t="shared" ref="J36:K43" si="2">+H36/G36</f>
        <v>#DIV/0!</v>
      </c>
      <c r="K36" s="143" t="e">
        <f t="shared" si="2"/>
        <v>#DIV/0!</v>
      </c>
      <c r="L36" s="11"/>
    </row>
    <row r="37" spans="2:12" ht="36.75" thickBot="1" x14ac:dyDescent="0.3">
      <c r="B37" s="218"/>
      <c r="C37" s="270"/>
      <c r="D37" s="160" t="str">
        <f t="shared" si="1"/>
        <v>Identificar, prevenir y mitigar amenazas y vulnerabilidades de origen natural, socio natural y antrópico</v>
      </c>
      <c r="E37" s="337" t="str">
        <f t="shared" si="1"/>
        <v>Gestión ambiental del Espacio Público en áreas urbanas</v>
      </c>
      <c r="F37" s="341"/>
      <c r="G37" s="342"/>
      <c r="H37" s="343"/>
      <c r="I37" s="342"/>
      <c r="J37" s="143" t="e">
        <f t="shared" si="2"/>
        <v>#DIV/0!</v>
      </c>
      <c r="K37" s="143" t="e">
        <f t="shared" si="2"/>
        <v>#DIV/0!</v>
      </c>
      <c r="L37" s="11"/>
    </row>
    <row r="38" spans="2:12" ht="36.75" thickBot="1" x14ac:dyDescent="0.3">
      <c r="B38" s="218"/>
      <c r="C38" s="270"/>
      <c r="D38" s="160" t="str">
        <f t="shared" si="1"/>
        <v>Conservar, preservar y recuperar elementos naturales del espacio público</v>
      </c>
      <c r="E38" s="337" t="str">
        <f t="shared" si="1"/>
        <v xml:space="preserve">Prevención y Control de la Contaminación del Aire en áreas urbanas </v>
      </c>
      <c r="F38" s="341"/>
      <c r="G38" s="342"/>
      <c r="H38" s="343"/>
      <c r="I38" s="342"/>
      <c r="J38" s="143" t="e">
        <f t="shared" si="2"/>
        <v>#DIV/0!</v>
      </c>
      <c r="K38" s="143" t="e">
        <f t="shared" si="2"/>
        <v>#DIV/0!</v>
      </c>
      <c r="L38" s="11"/>
    </row>
    <row r="39" spans="2:12" ht="24.75" thickBot="1" x14ac:dyDescent="0.3">
      <c r="B39" s="218"/>
      <c r="C39" s="270"/>
      <c r="D39" s="160" t="str">
        <f t="shared" si="1"/>
        <v>Implementar el programa de acreditación de laboratorios de medición de calidad del aire y ruido ambiental</v>
      </c>
      <c r="E39" s="337" t="str">
        <f t="shared" si="1"/>
        <v>Gestión del Recurso Hídrico en áreas urbanas</v>
      </c>
      <c r="F39" s="341"/>
      <c r="G39" s="342"/>
      <c r="H39" s="343"/>
      <c r="I39" s="342"/>
      <c r="J39" s="143" t="e">
        <f t="shared" si="2"/>
        <v>#DIV/0!</v>
      </c>
      <c r="K39" s="143" t="e">
        <f t="shared" si="2"/>
        <v>#DIV/0!</v>
      </c>
      <c r="L39" s="11"/>
    </row>
    <row r="40" spans="2:12" ht="24.75" thickBot="1" x14ac:dyDescent="0.3">
      <c r="B40" s="218"/>
      <c r="C40" s="270"/>
      <c r="D40" s="160" t="str">
        <f t="shared" si="1"/>
        <v>Operar el sistema de vigilancia de calidad del aire</v>
      </c>
      <c r="E40" s="337" t="str">
        <f t="shared" si="1"/>
        <v>Gestión de Residuos sólidos en áreas urbanas</v>
      </c>
      <c r="F40" s="341"/>
      <c r="G40" s="342"/>
      <c r="H40" s="343"/>
      <c r="I40" s="342"/>
      <c r="J40" s="143" t="e">
        <f t="shared" si="2"/>
        <v>#DIV/0!</v>
      </c>
      <c r="K40" s="143" t="e">
        <f t="shared" si="2"/>
        <v>#DIV/0!</v>
      </c>
      <c r="L40" s="11"/>
    </row>
    <row r="41" spans="2:12" ht="24.75" thickBot="1" x14ac:dyDescent="0.3">
      <c r="B41" s="218"/>
      <c r="C41" s="270"/>
      <c r="D41" s="160" t="str">
        <f t="shared" si="1"/>
        <v>Realizar el seguimiento de los Planes de saneamiento y manejo de vertimientos (PSMV)</v>
      </c>
      <c r="E41" s="337" t="str">
        <f t="shared" si="1"/>
        <v>Índice de calidad ambiental urbana</v>
      </c>
      <c r="F41" s="341"/>
      <c r="G41" s="342"/>
      <c r="H41" s="343"/>
      <c r="I41" s="342"/>
      <c r="J41" s="143" t="e">
        <f t="shared" si="2"/>
        <v>#DIV/0!</v>
      </c>
      <c r="K41" s="143" t="e">
        <f t="shared" si="2"/>
        <v>#DIV/0!</v>
      </c>
      <c r="L41" s="11"/>
    </row>
    <row r="42" spans="2:12" ht="24.75" thickBot="1" x14ac:dyDescent="0.3">
      <c r="B42" s="218"/>
      <c r="C42" s="270"/>
      <c r="D42" s="160" t="str">
        <f t="shared" si="1"/>
        <v>Realizar el seguimiento de los Planes de saneamiento y manejo de vertimientos (PSMV)</v>
      </c>
      <c r="E42" s="337" t="str">
        <f t="shared" si="1"/>
        <v>Gestión del recurso hídrico en áreas urbanas</v>
      </c>
      <c r="F42" s="341"/>
      <c r="G42" s="342"/>
      <c r="H42" s="343"/>
      <c r="I42" s="342"/>
      <c r="J42" s="143" t="e">
        <f t="shared" si="2"/>
        <v>#DIV/0!</v>
      </c>
      <c r="K42" s="143" t="e">
        <f t="shared" si="2"/>
        <v>#DIV/0!</v>
      </c>
      <c r="L42" s="11"/>
    </row>
    <row r="43" spans="2:12" ht="15.75" thickBot="1" x14ac:dyDescent="0.3">
      <c r="B43" s="218"/>
      <c r="C43" s="101"/>
      <c r="D43" s="1"/>
      <c r="E43" s="45" t="s">
        <v>764</v>
      </c>
      <c r="F43" s="1"/>
      <c r="G43" s="135">
        <f>SUM(G36:G42)</f>
        <v>0</v>
      </c>
      <c r="H43" s="135">
        <f>SUM(H36:H42)</f>
        <v>0</v>
      </c>
      <c r="I43" s="135">
        <f>SUM(I36:I42)</f>
        <v>0</v>
      </c>
      <c r="J43" s="143" t="e">
        <f t="shared" si="2"/>
        <v>#DIV/0!</v>
      </c>
      <c r="K43" s="143" t="e">
        <f t="shared" si="2"/>
        <v>#DIV/0!</v>
      </c>
      <c r="L43" s="118"/>
    </row>
    <row r="44" spans="2:12" ht="15.75" thickBot="1" x14ac:dyDescent="0.3">
      <c r="B44" s="47"/>
      <c r="C44" s="93"/>
      <c r="D44" s="986" t="s">
        <v>1265</v>
      </c>
      <c r="E44" s="987"/>
      <c r="F44" s="987"/>
      <c r="G44" s="987"/>
      <c r="H44" s="987"/>
      <c r="I44" s="987"/>
      <c r="J44" s="987"/>
      <c r="K44" s="987"/>
      <c r="L44" s="1081"/>
    </row>
    <row r="45" spans="2:12" ht="15.75" thickBot="1" x14ac:dyDescent="0.3">
      <c r="B45" s="37"/>
      <c r="C45" s="88"/>
      <c r="D45" s="5"/>
      <c r="E45" s="5"/>
      <c r="F45" s="5"/>
      <c r="G45" s="5"/>
      <c r="H45" s="5"/>
      <c r="I45" s="5"/>
      <c r="J45" s="5"/>
      <c r="K45" s="5"/>
    </row>
    <row r="46" spans="2:12" ht="72.75" thickBot="1" x14ac:dyDescent="0.3">
      <c r="B46" s="52" t="s">
        <v>671</v>
      </c>
      <c r="C46" s="98"/>
      <c r="D46" s="43" t="s">
        <v>1388</v>
      </c>
      <c r="E46" s="5"/>
      <c r="F46" s="5"/>
      <c r="G46" s="5"/>
      <c r="H46" s="5"/>
      <c r="I46" s="5"/>
      <c r="J46" s="5"/>
      <c r="K46" s="5"/>
    </row>
    <row r="47" spans="2:12" ht="60.75" thickBot="1" x14ac:dyDescent="0.3">
      <c r="B47" s="52" t="s">
        <v>673</v>
      </c>
      <c r="C47" s="203"/>
      <c r="D47" s="52" t="s">
        <v>953</v>
      </c>
      <c r="E47" s="5"/>
      <c r="F47" s="5"/>
      <c r="G47" s="5"/>
      <c r="H47" s="5"/>
      <c r="I47" s="5"/>
      <c r="J47" s="5"/>
      <c r="K47" s="5"/>
    </row>
    <row r="48" spans="2:12" ht="15.75" thickBot="1" x14ac:dyDescent="0.3">
      <c r="B48" s="1"/>
      <c r="C48" s="76"/>
      <c r="D48" s="5"/>
      <c r="E48" s="5"/>
      <c r="F48" s="5"/>
      <c r="G48" s="5"/>
      <c r="H48" s="5"/>
      <c r="I48" s="5"/>
      <c r="J48" s="5"/>
      <c r="K48" s="5"/>
    </row>
    <row r="49" spans="2:11" ht="24" customHeight="1" thickBot="1" x14ac:dyDescent="0.3">
      <c r="B49" s="971" t="s">
        <v>675</v>
      </c>
      <c r="C49" s="972"/>
      <c r="D49" s="972"/>
      <c r="E49" s="973"/>
      <c r="F49" s="5"/>
      <c r="G49" s="5"/>
      <c r="H49" s="5"/>
      <c r="I49" s="5"/>
      <c r="J49" s="5"/>
      <c r="K49" s="5"/>
    </row>
    <row r="50" spans="2:11" ht="24.75" thickBot="1" x14ac:dyDescent="0.3">
      <c r="B50" s="974">
        <v>1</v>
      </c>
      <c r="C50" s="94"/>
      <c r="D50" s="48" t="s">
        <v>676</v>
      </c>
      <c r="E50" s="337" t="s">
        <v>2301</v>
      </c>
      <c r="F50" s="5"/>
      <c r="G50" s="5"/>
      <c r="H50" s="5"/>
      <c r="I50" s="5"/>
      <c r="J50" s="5"/>
      <c r="K50" s="5"/>
    </row>
    <row r="51" spans="2:11" ht="24.75" thickBot="1" x14ac:dyDescent="0.3">
      <c r="B51" s="975"/>
      <c r="C51" s="94"/>
      <c r="D51" s="40" t="s">
        <v>525</v>
      </c>
      <c r="E51" s="337" t="s">
        <v>2311</v>
      </c>
      <c r="F51" s="5"/>
      <c r="G51" s="5"/>
      <c r="H51" s="5"/>
      <c r="I51" s="5"/>
      <c r="J51" s="5"/>
      <c r="K51" s="5"/>
    </row>
    <row r="52" spans="2:11" ht="24.75" thickBot="1" x14ac:dyDescent="0.3">
      <c r="B52" s="975"/>
      <c r="C52" s="94"/>
      <c r="D52" s="40" t="s">
        <v>677</v>
      </c>
      <c r="E52" s="337" t="s">
        <v>2303</v>
      </c>
      <c r="F52" s="5"/>
      <c r="G52" s="5"/>
      <c r="H52" s="5"/>
      <c r="I52" s="5"/>
      <c r="J52" s="5"/>
      <c r="K52" s="5"/>
    </row>
    <row r="53" spans="2:11" ht="15.75" thickBot="1" x14ac:dyDescent="0.3">
      <c r="B53" s="975"/>
      <c r="C53" s="94"/>
      <c r="D53" s="40" t="s">
        <v>527</v>
      </c>
      <c r="E53" s="337" t="s">
        <v>2304</v>
      </c>
      <c r="F53" s="5"/>
      <c r="G53" s="5"/>
      <c r="H53" s="5"/>
      <c r="I53" s="5"/>
      <c r="J53" s="5"/>
      <c r="K53" s="5"/>
    </row>
    <row r="54" spans="2:11" ht="30.75" thickBot="1" x14ac:dyDescent="0.3">
      <c r="B54" s="975"/>
      <c r="C54" s="94"/>
      <c r="D54" s="40" t="s">
        <v>529</v>
      </c>
      <c r="E54" s="766" t="s">
        <v>2309</v>
      </c>
      <c r="F54" s="5"/>
      <c r="G54" s="5"/>
      <c r="H54" s="5"/>
      <c r="I54" s="5"/>
      <c r="J54" s="5"/>
      <c r="K54" s="5"/>
    </row>
    <row r="55" spans="2:11" ht="15.75" thickBot="1" x14ac:dyDescent="0.3">
      <c r="B55" s="975"/>
      <c r="C55" s="94"/>
      <c r="D55" s="40" t="s">
        <v>531</v>
      </c>
      <c r="E55" s="337">
        <v>5748960</v>
      </c>
      <c r="F55" s="5"/>
      <c r="G55" s="5"/>
      <c r="H55" s="5"/>
      <c r="I55" s="5"/>
      <c r="J55" s="5"/>
      <c r="K55" s="5"/>
    </row>
    <row r="56" spans="2:11" ht="36.75" thickBot="1" x14ac:dyDescent="0.3">
      <c r="B56" s="976"/>
      <c r="C56" s="2"/>
      <c r="D56" s="40" t="s">
        <v>678</v>
      </c>
      <c r="E56" s="337" t="s">
        <v>2312</v>
      </c>
      <c r="F56" s="5"/>
      <c r="G56" s="5"/>
      <c r="H56" s="5"/>
      <c r="I56" s="5"/>
      <c r="J56" s="5"/>
      <c r="K56" s="5"/>
    </row>
    <row r="57" spans="2:11" ht="15.75" thickBot="1" x14ac:dyDescent="0.3">
      <c r="B57" s="1"/>
      <c r="C57" s="76"/>
      <c r="D57" s="5"/>
      <c r="E57" s="5"/>
      <c r="F57" s="5"/>
      <c r="G57" s="5"/>
      <c r="H57" s="5"/>
      <c r="I57" s="5"/>
      <c r="J57" s="5"/>
      <c r="K57" s="5"/>
    </row>
    <row r="58" spans="2:11" ht="15.75" thickBot="1" x14ac:dyDescent="0.3">
      <c r="B58" s="971" t="s">
        <v>679</v>
      </c>
      <c r="C58" s="972"/>
      <c r="D58" s="972"/>
      <c r="E58" s="973"/>
      <c r="F58" s="5"/>
      <c r="G58" s="5"/>
      <c r="H58" s="5"/>
      <c r="I58" s="5"/>
      <c r="J58" s="5"/>
      <c r="K58" s="5"/>
    </row>
    <row r="59" spans="2:11" ht="15.75" thickBot="1" x14ac:dyDescent="0.3">
      <c r="B59" s="974">
        <v>1</v>
      </c>
      <c r="C59" s="94"/>
      <c r="D59" s="48" t="s">
        <v>676</v>
      </c>
      <c r="E59" s="126" t="s">
        <v>680</v>
      </c>
      <c r="F59" s="5"/>
      <c r="G59" s="5"/>
      <c r="H59" s="5"/>
      <c r="I59" s="5"/>
      <c r="J59" s="5"/>
      <c r="K59" s="5"/>
    </row>
    <row r="60" spans="2:11" ht="15.75" thickBot="1" x14ac:dyDescent="0.3">
      <c r="B60" s="975"/>
      <c r="C60" s="94"/>
      <c r="D60" s="40" t="s">
        <v>525</v>
      </c>
      <c r="E60" s="167" t="s">
        <v>773</v>
      </c>
      <c r="F60" s="5"/>
      <c r="G60" s="5"/>
      <c r="H60" s="5"/>
      <c r="I60" s="5"/>
      <c r="J60" s="5"/>
      <c r="K60" s="5"/>
    </row>
    <row r="61" spans="2:11" ht="15.75" thickBot="1" x14ac:dyDescent="0.3">
      <c r="B61" s="975"/>
      <c r="C61" s="94"/>
      <c r="D61" s="40" t="s">
        <v>677</v>
      </c>
      <c r="E61" s="168"/>
      <c r="F61" s="5"/>
      <c r="G61" s="5"/>
      <c r="H61" s="5"/>
      <c r="I61" s="5"/>
      <c r="J61" s="5"/>
      <c r="K61" s="5"/>
    </row>
    <row r="62" spans="2:11" ht="15.75" thickBot="1" x14ac:dyDescent="0.3">
      <c r="B62" s="975"/>
      <c r="C62" s="94"/>
      <c r="D62" s="40" t="s">
        <v>527</v>
      </c>
      <c r="E62" s="168"/>
      <c r="F62" s="5"/>
      <c r="G62" s="5"/>
      <c r="H62" s="5"/>
      <c r="I62" s="5"/>
      <c r="J62" s="5"/>
      <c r="K62" s="5"/>
    </row>
    <row r="63" spans="2:11" ht="15.75" thickBot="1" x14ac:dyDescent="0.3">
      <c r="B63" s="975"/>
      <c r="C63" s="94"/>
      <c r="D63" s="40" t="s">
        <v>529</v>
      </c>
      <c r="E63" s="168"/>
      <c r="F63" s="5"/>
      <c r="G63" s="5"/>
      <c r="H63" s="5"/>
      <c r="I63" s="5"/>
      <c r="J63" s="5"/>
      <c r="K63" s="5"/>
    </row>
    <row r="64" spans="2:11" ht="15.75" thickBot="1" x14ac:dyDescent="0.3">
      <c r="B64" s="975"/>
      <c r="C64" s="94"/>
      <c r="D64" s="40" t="s">
        <v>531</v>
      </c>
      <c r="E64" s="168"/>
      <c r="F64" s="5"/>
      <c r="G64" s="5"/>
      <c r="H64" s="5"/>
      <c r="I64" s="5"/>
      <c r="J64" s="5"/>
      <c r="K64" s="5"/>
    </row>
    <row r="65" spans="2:11" ht="15.75" thickBot="1" x14ac:dyDescent="0.3">
      <c r="B65" s="976"/>
      <c r="C65" s="2"/>
      <c r="D65" s="40" t="s">
        <v>678</v>
      </c>
      <c r="E65" s="168"/>
      <c r="F65" s="5"/>
      <c r="G65" s="5"/>
      <c r="H65" s="5"/>
      <c r="I65" s="5"/>
      <c r="J65" s="5"/>
      <c r="K65" s="5"/>
    </row>
    <row r="66" spans="2:11" ht="15.75" thickBot="1" x14ac:dyDescent="0.3">
      <c r="B66" s="1"/>
      <c r="C66" s="76"/>
      <c r="D66" s="5"/>
      <c r="E66" s="5"/>
      <c r="F66" s="5"/>
      <c r="G66" s="5"/>
      <c r="H66" s="5"/>
      <c r="I66" s="5"/>
      <c r="J66" s="5"/>
      <c r="K66" s="5"/>
    </row>
    <row r="67" spans="2:11" ht="15" customHeight="1" thickBot="1" x14ac:dyDescent="0.3">
      <c r="B67" s="122" t="s">
        <v>682</v>
      </c>
      <c r="C67" s="123"/>
      <c r="D67" s="123"/>
      <c r="E67" s="124"/>
      <c r="G67" s="5"/>
      <c r="H67" s="5"/>
      <c r="I67" s="5"/>
      <c r="J67" s="5"/>
      <c r="K67" s="5"/>
    </row>
    <row r="68" spans="2:11" ht="24.75" thickBot="1" x14ac:dyDescent="0.3">
      <c r="B68" s="47" t="s">
        <v>683</v>
      </c>
      <c r="C68" s="40" t="s">
        <v>684</v>
      </c>
      <c r="D68" s="40" t="s">
        <v>685</v>
      </c>
      <c r="E68" s="40" t="s">
        <v>686</v>
      </c>
      <c r="F68" s="5"/>
      <c r="G68" s="5"/>
      <c r="H68" s="5"/>
      <c r="I68" s="5"/>
      <c r="J68" s="5"/>
    </row>
    <row r="69" spans="2:11" ht="72.75" thickBot="1" x14ac:dyDescent="0.3">
      <c r="B69" s="49">
        <v>42401</v>
      </c>
      <c r="C69" s="40">
        <v>1</v>
      </c>
      <c r="D69" s="40" t="s">
        <v>1389</v>
      </c>
      <c r="E69" s="40"/>
      <c r="F69" s="5"/>
      <c r="G69" s="5"/>
      <c r="H69" s="5"/>
      <c r="I69" s="5"/>
      <c r="J69" s="5"/>
    </row>
    <row r="70" spans="2:11" ht="15.75" thickBot="1" x14ac:dyDescent="0.3">
      <c r="B70" s="3"/>
      <c r="C70" s="95"/>
      <c r="D70" s="5"/>
      <c r="E70" s="5"/>
      <c r="F70" s="5"/>
      <c r="G70" s="5"/>
      <c r="H70" s="5"/>
      <c r="I70" s="5"/>
      <c r="J70" s="5"/>
      <c r="K70" s="5"/>
    </row>
    <row r="71" spans="2:11" ht="15.75" thickBot="1" x14ac:dyDescent="0.3">
      <c r="B71" s="129" t="s">
        <v>593</v>
      </c>
      <c r="C71" s="96"/>
      <c r="D71" s="5"/>
      <c r="E71" s="5"/>
      <c r="F71" s="5"/>
      <c r="G71" s="5"/>
      <c r="H71" s="5"/>
      <c r="I71" s="5"/>
      <c r="J71" s="5"/>
      <c r="K71" s="5"/>
    </row>
    <row r="72" spans="2:11" x14ac:dyDescent="0.25">
      <c r="B72" s="1136"/>
      <c r="C72" s="1137"/>
      <c r="D72" s="1137"/>
      <c r="E72" s="1138"/>
      <c r="F72" s="5"/>
      <c r="G72" s="5"/>
      <c r="H72" s="5"/>
      <c r="I72" s="5"/>
      <c r="J72" s="5"/>
      <c r="K72" s="5"/>
    </row>
    <row r="73" spans="2:11" ht="15.75" thickBot="1" x14ac:dyDescent="0.3">
      <c r="B73" s="1139"/>
      <c r="C73" s="1140"/>
      <c r="D73" s="1140"/>
      <c r="E73" s="1141"/>
      <c r="F73" s="5"/>
      <c r="G73" s="5"/>
      <c r="H73" s="5"/>
      <c r="I73" s="5"/>
      <c r="J73" s="5"/>
      <c r="K73" s="5"/>
    </row>
    <row r="74" spans="2:11" ht="15.75" thickBot="1" x14ac:dyDescent="0.3">
      <c r="B74" s="5"/>
      <c r="D74" s="5"/>
      <c r="E74" s="5"/>
      <c r="F74" s="5"/>
      <c r="G74" s="5"/>
      <c r="H74" s="5"/>
      <c r="I74" s="5"/>
      <c r="J74" s="5"/>
      <c r="K74" s="5"/>
    </row>
    <row r="75" spans="2:11" ht="15.75" thickBot="1" x14ac:dyDescent="0.3">
      <c r="B75" s="971" t="s">
        <v>688</v>
      </c>
      <c r="C75" s="972"/>
      <c r="D75" s="973"/>
      <c r="E75" s="5"/>
      <c r="F75" s="5"/>
      <c r="G75" s="5"/>
      <c r="H75" s="5"/>
      <c r="I75" s="5"/>
      <c r="J75" s="5"/>
      <c r="K75" s="5"/>
    </row>
    <row r="76" spans="2:11" ht="60.75" thickBot="1" x14ac:dyDescent="0.3">
      <c r="B76" s="47" t="s">
        <v>689</v>
      </c>
      <c r="C76" s="2"/>
      <c r="D76" s="40" t="s">
        <v>1390</v>
      </c>
      <c r="E76" s="5"/>
      <c r="F76" s="5"/>
      <c r="G76" s="5"/>
      <c r="H76" s="5"/>
      <c r="I76" s="5"/>
      <c r="J76" s="5"/>
      <c r="K76" s="5"/>
    </row>
    <row r="77" spans="2:11" x14ac:dyDescent="0.25">
      <c r="B77" s="974" t="s">
        <v>691</v>
      </c>
      <c r="C77" s="94"/>
      <c r="D77" s="53" t="s">
        <v>692</v>
      </c>
      <c r="E77" s="5"/>
      <c r="F77" s="5"/>
      <c r="G77" s="5"/>
      <c r="H77" s="5"/>
      <c r="I77" s="5"/>
      <c r="J77" s="5"/>
      <c r="K77" s="5"/>
    </row>
    <row r="78" spans="2:11" ht="96" x14ac:dyDescent="0.25">
      <c r="B78" s="975"/>
      <c r="C78" s="94"/>
      <c r="D78" s="46" t="s">
        <v>1391</v>
      </c>
      <c r="E78" s="5"/>
      <c r="F78" s="5"/>
      <c r="G78" s="5"/>
      <c r="H78" s="5"/>
      <c r="I78" s="5"/>
      <c r="J78" s="5"/>
      <c r="K78" s="5"/>
    </row>
    <row r="79" spans="2:11" x14ac:dyDescent="0.25">
      <c r="B79" s="975"/>
      <c r="C79" s="94"/>
      <c r="D79" s="53" t="s">
        <v>695</v>
      </c>
      <c r="E79" s="5"/>
      <c r="F79" s="5"/>
      <c r="G79" s="5"/>
      <c r="H79" s="5"/>
      <c r="I79" s="5"/>
      <c r="J79" s="5"/>
      <c r="K79" s="5"/>
    </row>
    <row r="80" spans="2:11" x14ac:dyDescent="0.25">
      <c r="B80" s="975"/>
      <c r="C80" s="94"/>
      <c r="D80" s="46" t="s">
        <v>696</v>
      </c>
      <c r="E80" s="5"/>
      <c r="F80" s="5"/>
      <c r="G80" s="5"/>
      <c r="H80" s="5"/>
      <c r="I80" s="5"/>
      <c r="J80" s="5"/>
      <c r="K80" s="5"/>
    </row>
    <row r="81" spans="2:11" x14ac:dyDescent="0.25">
      <c r="B81" s="975"/>
      <c r="C81" s="94"/>
      <c r="D81" s="46" t="s">
        <v>1392</v>
      </c>
      <c r="E81" s="5"/>
      <c r="F81" s="5"/>
      <c r="G81" s="5"/>
      <c r="H81" s="5"/>
      <c r="I81" s="5"/>
      <c r="J81" s="5"/>
      <c r="K81" s="5"/>
    </row>
    <row r="82" spans="2:11" x14ac:dyDescent="0.25">
      <c r="B82" s="975"/>
      <c r="C82" s="94"/>
      <c r="D82" s="46" t="s">
        <v>697</v>
      </c>
      <c r="E82" s="5"/>
      <c r="F82" s="5"/>
      <c r="G82" s="5"/>
      <c r="H82" s="5"/>
      <c r="I82" s="5"/>
      <c r="J82" s="5"/>
      <c r="K82" s="5"/>
    </row>
    <row r="83" spans="2:11" x14ac:dyDescent="0.25">
      <c r="B83" s="975"/>
      <c r="C83" s="94"/>
      <c r="D83" s="46" t="s">
        <v>1393</v>
      </c>
      <c r="E83" s="5"/>
      <c r="F83" s="5"/>
      <c r="G83" s="5"/>
      <c r="H83" s="5"/>
      <c r="I83" s="5"/>
      <c r="J83" s="5"/>
      <c r="K83" s="5"/>
    </row>
    <row r="84" spans="2:11" ht="24" x14ac:dyDescent="0.25">
      <c r="B84" s="975"/>
      <c r="C84" s="94"/>
      <c r="D84" s="46" t="s">
        <v>1394</v>
      </c>
      <c r="E84" s="5"/>
      <c r="F84" s="5"/>
      <c r="G84" s="5"/>
      <c r="H84" s="5"/>
      <c r="I84" s="5"/>
      <c r="J84" s="5"/>
      <c r="K84" s="5"/>
    </row>
    <row r="85" spans="2:11" x14ac:dyDescent="0.25">
      <c r="B85" s="975"/>
      <c r="C85" s="94"/>
      <c r="D85" s="53" t="s">
        <v>923</v>
      </c>
      <c r="E85" s="5"/>
      <c r="F85" s="5"/>
      <c r="G85" s="5"/>
      <c r="H85" s="5"/>
      <c r="I85" s="5"/>
      <c r="J85" s="5"/>
      <c r="K85" s="5"/>
    </row>
    <row r="86" spans="2:11" x14ac:dyDescent="0.25">
      <c r="B86" s="975"/>
      <c r="C86" s="94"/>
      <c r="D86" s="46" t="s">
        <v>1024</v>
      </c>
      <c r="E86" s="5"/>
      <c r="F86" s="5"/>
      <c r="G86" s="5"/>
      <c r="H86" s="5"/>
      <c r="I86" s="5"/>
      <c r="J86" s="5"/>
      <c r="K86" s="5"/>
    </row>
    <row r="87" spans="2:11" x14ac:dyDescent="0.25">
      <c r="B87" s="975"/>
      <c r="C87" s="94"/>
      <c r="D87" s="46" t="s">
        <v>1395</v>
      </c>
      <c r="E87" s="5"/>
      <c r="F87" s="5"/>
      <c r="G87" s="5"/>
      <c r="H87" s="5"/>
      <c r="I87" s="5"/>
      <c r="J87" s="5"/>
      <c r="K87" s="5"/>
    </row>
    <row r="88" spans="2:11" ht="24" x14ac:dyDescent="0.25">
      <c r="B88" s="975"/>
      <c r="C88" s="94"/>
      <c r="D88" s="46" t="s">
        <v>1396</v>
      </c>
      <c r="E88" s="5"/>
      <c r="F88" s="5"/>
      <c r="G88" s="5"/>
      <c r="H88" s="5"/>
      <c r="I88" s="5"/>
      <c r="J88" s="5"/>
      <c r="K88" s="5"/>
    </row>
    <row r="89" spans="2:11" ht="24" x14ac:dyDescent="0.25">
      <c r="B89" s="975"/>
      <c r="C89" s="94"/>
      <c r="D89" s="46" t="s">
        <v>1397</v>
      </c>
      <c r="E89" s="5"/>
      <c r="F89" s="5"/>
      <c r="G89" s="5"/>
      <c r="H89" s="5"/>
      <c r="I89" s="5"/>
      <c r="J89" s="5"/>
      <c r="K89" s="5"/>
    </row>
    <row r="90" spans="2:11" ht="36" x14ac:dyDescent="0.25">
      <c r="B90" s="975"/>
      <c r="C90" s="94"/>
      <c r="D90" s="46" t="s">
        <v>1398</v>
      </c>
      <c r="E90" s="5"/>
      <c r="F90" s="5"/>
      <c r="G90" s="5"/>
      <c r="H90" s="5"/>
      <c r="I90" s="5"/>
      <c r="J90" s="5"/>
      <c r="K90" s="5"/>
    </row>
    <row r="91" spans="2:11" x14ac:dyDescent="0.25">
      <c r="B91" s="975"/>
      <c r="C91" s="94"/>
      <c r="D91" s="46" t="s">
        <v>1399</v>
      </c>
      <c r="E91" s="5"/>
      <c r="F91" s="5"/>
      <c r="G91" s="5"/>
      <c r="H91" s="5"/>
      <c r="I91" s="5"/>
      <c r="J91" s="5"/>
      <c r="K91" s="5"/>
    </row>
    <row r="92" spans="2:11" x14ac:dyDescent="0.25">
      <c r="B92" s="975"/>
      <c r="C92" s="94"/>
      <c r="D92" s="46" t="s">
        <v>1400</v>
      </c>
      <c r="E92" s="5"/>
      <c r="F92" s="5"/>
      <c r="G92" s="5"/>
      <c r="H92" s="5"/>
      <c r="I92" s="5"/>
      <c r="J92" s="5"/>
      <c r="K92" s="5"/>
    </row>
    <row r="93" spans="2:11" ht="15.75" thickBot="1" x14ac:dyDescent="0.3">
      <c r="B93" s="976"/>
      <c r="C93" s="2"/>
      <c r="D93" s="40" t="s">
        <v>1401</v>
      </c>
      <c r="E93" s="5"/>
      <c r="F93" s="5"/>
      <c r="G93" s="5"/>
      <c r="H93" s="5"/>
      <c r="I93" s="5"/>
      <c r="J93" s="5"/>
      <c r="K93" s="5"/>
    </row>
    <row r="94" spans="2:11" ht="24.75" thickBot="1" x14ac:dyDescent="0.3">
      <c r="B94" s="47" t="s">
        <v>704</v>
      </c>
      <c r="C94" s="2"/>
      <c r="D94" s="40"/>
      <c r="E94" s="5"/>
      <c r="F94" s="5"/>
      <c r="G94" s="5"/>
      <c r="H94" s="5"/>
      <c r="I94" s="5"/>
      <c r="J94" s="5"/>
      <c r="K94" s="5"/>
    </row>
    <row r="95" spans="2:11" ht="252" x14ac:dyDescent="0.25">
      <c r="B95" s="974" t="s">
        <v>705</v>
      </c>
      <c r="C95" s="94"/>
      <c r="D95" s="46" t="s">
        <v>1402</v>
      </c>
      <c r="E95" s="5"/>
      <c r="F95" s="5"/>
      <c r="G95" s="5"/>
      <c r="H95" s="5"/>
      <c r="I95" s="5"/>
      <c r="J95" s="5"/>
      <c r="K95" s="5"/>
    </row>
    <row r="96" spans="2:11" ht="24" x14ac:dyDescent="0.25">
      <c r="B96" s="975"/>
      <c r="C96" s="94"/>
      <c r="D96" s="46" t="s">
        <v>1403</v>
      </c>
      <c r="E96" s="5"/>
      <c r="F96" s="5"/>
      <c r="G96" s="5"/>
      <c r="H96" s="5"/>
      <c r="I96" s="5"/>
      <c r="J96" s="5"/>
      <c r="K96" s="5"/>
    </row>
    <row r="97" spans="2:11" ht="108" x14ac:dyDescent="0.25">
      <c r="B97" s="975"/>
      <c r="C97" s="94"/>
      <c r="D97" s="46" t="s">
        <v>1404</v>
      </c>
      <c r="E97" s="5"/>
      <c r="F97" s="5"/>
      <c r="G97" s="5"/>
      <c r="H97" s="5"/>
      <c r="I97" s="5"/>
      <c r="J97" s="5"/>
      <c r="K97" s="5"/>
    </row>
    <row r="98" spans="2:11" ht="384" x14ac:dyDescent="0.25">
      <c r="B98" s="975"/>
      <c r="C98" s="94"/>
      <c r="D98" s="46" t="s">
        <v>1405</v>
      </c>
      <c r="E98" s="5"/>
      <c r="F98" s="5"/>
      <c r="G98" s="5"/>
      <c r="H98" s="5"/>
      <c r="I98" s="5"/>
      <c r="J98" s="5"/>
      <c r="K98" s="5"/>
    </row>
    <row r="99" spans="2:11" ht="192" x14ac:dyDescent="0.25">
      <c r="B99" s="975"/>
      <c r="C99" s="94"/>
      <c r="D99" s="46" t="s">
        <v>1406</v>
      </c>
      <c r="E99" s="5"/>
      <c r="F99" s="5"/>
      <c r="G99" s="5"/>
      <c r="H99" s="5"/>
      <c r="I99" s="5"/>
      <c r="J99" s="5"/>
      <c r="K99" s="5"/>
    </row>
    <row r="100" spans="2:11" ht="72" x14ac:dyDescent="0.25">
      <c r="B100" s="975"/>
      <c r="C100" s="94"/>
      <c r="D100" s="46" t="s">
        <v>1407</v>
      </c>
      <c r="E100" s="5"/>
      <c r="F100" s="5"/>
      <c r="G100" s="5"/>
      <c r="H100" s="5"/>
      <c r="I100" s="5"/>
      <c r="J100" s="5"/>
      <c r="K100" s="5"/>
    </row>
    <row r="101" spans="2:11" ht="24" x14ac:dyDescent="0.25">
      <c r="B101" s="975"/>
      <c r="C101" s="94"/>
      <c r="D101" s="46" t="s">
        <v>1408</v>
      </c>
      <c r="E101" s="5"/>
      <c r="F101" s="5"/>
      <c r="G101" s="5"/>
      <c r="H101" s="5"/>
      <c r="I101" s="5"/>
      <c r="J101" s="5"/>
      <c r="K101" s="5"/>
    </row>
    <row r="102" spans="2:11" ht="24" x14ac:dyDescent="0.25">
      <c r="B102" s="975"/>
      <c r="C102" s="94"/>
      <c r="D102" s="46" t="s">
        <v>1409</v>
      </c>
      <c r="E102" s="5"/>
      <c r="F102" s="5"/>
      <c r="G102" s="5"/>
      <c r="H102" s="5"/>
      <c r="I102" s="5"/>
      <c r="J102" s="5"/>
      <c r="K102" s="5"/>
    </row>
    <row r="103" spans="2:11" ht="24" x14ac:dyDescent="0.25">
      <c r="B103" s="975"/>
      <c r="C103" s="94"/>
      <c r="D103" s="46" t="s">
        <v>1410</v>
      </c>
      <c r="E103" s="5"/>
      <c r="F103" s="5"/>
      <c r="G103" s="5"/>
      <c r="H103" s="5"/>
      <c r="I103" s="5"/>
      <c r="J103" s="5"/>
      <c r="K103" s="5"/>
    </row>
    <row r="104" spans="2:11" ht="84" x14ac:dyDescent="0.25">
      <c r="B104" s="975"/>
      <c r="C104" s="94"/>
      <c r="D104" s="46" t="s">
        <v>1411</v>
      </c>
      <c r="E104" s="5"/>
      <c r="F104" s="5"/>
      <c r="G104" s="5"/>
      <c r="H104" s="5"/>
      <c r="I104" s="5"/>
      <c r="J104" s="5"/>
      <c r="K104" s="5"/>
    </row>
    <row r="105" spans="2:11" ht="24" x14ac:dyDescent="0.25">
      <c r="B105" s="975"/>
      <c r="C105" s="94"/>
      <c r="D105" s="46" t="s">
        <v>1412</v>
      </c>
      <c r="E105" s="5"/>
      <c r="F105" s="5"/>
      <c r="G105" s="5"/>
      <c r="H105" s="5"/>
      <c r="I105" s="5"/>
      <c r="J105" s="5"/>
      <c r="K105" s="5"/>
    </row>
    <row r="106" spans="2:11" ht="24" x14ac:dyDescent="0.25">
      <c r="B106" s="975"/>
      <c r="C106" s="94"/>
      <c r="D106" s="46" t="s">
        <v>1413</v>
      </c>
      <c r="E106" s="5"/>
      <c r="F106" s="5"/>
      <c r="G106" s="5"/>
      <c r="H106" s="5"/>
      <c r="I106" s="5"/>
      <c r="J106" s="5"/>
      <c r="K106" s="5"/>
    </row>
    <row r="107" spans="2:11" x14ac:dyDescent="0.25">
      <c r="B107" s="975"/>
      <c r="C107" s="94"/>
      <c r="D107" s="46" t="s">
        <v>1414</v>
      </c>
      <c r="E107" s="5"/>
      <c r="F107" s="5"/>
      <c r="G107" s="5"/>
      <c r="H107" s="5"/>
      <c r="I107" s="5"/>
      <c r="J107" s="5"/>
      <c r="K107" s="5"/>
    </row>
    <row r="108" spans="2:11" ht="24" x14ac:dyDescent="0.25">
      <c r="B108" s="975"/>
      <c r="C108" s="94"/>
      <c r="D108" s="46" t="s">
        <v>1415</v>
      </c>
      <c r="E108" s="5"/>
      <c r="F108" s="5"/>
      <c r="G108" s="5"/>
      <c r="H108" s="5"/>
      <c r="I108" s="5"/>
      <c r="J108" s="5"/>
      <c r="K108" s="5"/>
    </row>
    <row r="109" spans="2:11" ht="36" x14ac:dyDescent="0.25">
      <c r="B109" s="975"/>
      <c r="C109" s="94"/>
      <c r="D109" s="46" t="s">
        <v>1416</v>
      </c>
      <c r="E109" s="5"/>
      <c r="F109" s="5"/>
      <c r="G109" s="5"/>
      <c r="H109" s="5"/>
      <c r="I109" s="5"/>
      <c r="J109" s="5"/>
      <c r="K109" s="5"/>
    </row>
    <row r="110" spans="2:11" ht="24" x14ac:dyDescent="0.25">
      <c r="B110" s="975"/>
      <c r="C110" s="94"/>
      <c r="D110" s="46" t="s">
        <v>1417</v>
      </c>
      <c r="E110" s="5"/>
      <c r="F110" s="5"/>
      <c r="G110" s="5"/>
      <c r="H110" s="5"/>
      <c r="I110" s="5"/>
      <c r="J110" s="5"/>
      <c r="K110" s="5"/>
    </row>
    <row r="111" spans="2:11" ht="24" x14ac:dyDescent="0.25">
      <c r="B111" s="975"/>
      <c r="C111" s="94"/>
      <c r="D111" s="46" t="s">
        <v>1418</v>
      </c>
      <c r="E111" s="5"/>
      <c r="F111" s="5"/>
      <c r="G111" s="5"/>
      <c r="H111" s="5"/>
      <c r="I111" s="5"/>
      <c r="J111" s="5"/>
      <c r="K111" s="5"/>
    </row>
    <row r="112" spans="2:11" ht="72" x14ac:dyDescent="0.25">
      <c r="B112" s="975"/>
      <c r="C112" s="94"/>
      <c r="D112" s="46" t="s">
        <v>1419</v>
      </c>
      <c r="E112" s="5"/>
      <c r="F112" s="5"/>
      <c r="G112" s="5"/>
      <c r="H112" s="5"/>
      <c r="I112" s="5"/>
      <c r="J112" s="5"/>
      <c r="K112" s="5"/>
    </row>
    <row r="113" spans="2:11" ht="48" x14ac:dyDescent="0.25">
      <c r="B113" s="975"/>
      <c r="C113" s="94"/>
      <c r="D113" s="46" t="s">
        <v>1420</v>
      </c>
      <c r="E113" s="5"/>
      <c r="F113" s="5"/>
      <c r="G113" s="5"/>
      <c r="H113" s="5"/>
      <c r="I113" s="5"/>
      <c r="J113" s="5"/>
      <c r="K113" s="5"/>
    </row>
    <row r="114" spans="2:11" ht="48" x14ac:dyDescent="0.25">
      <c r="B114" s="975"/>
      <c r="C114" s="94"/>
      <c r="D114" s="46" t="s">
        <v>1421</v>
      </c>
      <c r="E114" s="5"/>
      <c r="F114" s="5"/>
      <c r="G114" s="5"/>
      <c r="H114" s="5"/>
      <c r="I114" s="5"/>
      <c r="J114" s="5"/>
      <c r="K114" s="5"/>
    </row>
    <row r="115" spans="2:11" ht="36" x14ac:dyDescent="0.25">
      <c r="B115" s="975"/>
      <c r="C115" s="94"/>
      <c r="D115" s="46" t="s">
        <v>1422</v>
      </c>
      <c r="E115" s="5"/>
      <c r="F115" s="5"/>
      <c r="G115" s="5"/>
      <c r="H115" s="5"/>
      <c r="I115" s="5"/>
      <c r="J115" s="5"/>
      <c r="K115" s="5"/>
    </row>
    <row r="116" spans="2:11" ht="24" x14ac:dyDescent="0.25">
      <c r="B116" s="975"/>
      <c r="C116" s="94"/>
      <c r="D116" s="46" t="s">
        <v>1423</v>
      </c>
      <c r="E116" s="5"/>
      <c r="F116" s="5"/>
      <c r="G116" s="5"/>
      <c r="H116" s="5"/>
      <c r="I116" s="5"/>
      <c r="J116" s="5"/>
      <c r="K116" s="5"/>
    </row>
    <row r="117" spans="2:11" ht="36" x14ac:dyDescent="0.25">
      <c r="B117" s="975"/>
      <c r="C117" s="94"/>
      <c r="D117" s="46" t="s">
        <v>1424</v>
      </c>
      <c r="E117" s="5"/>
      <c r="F117" s="5"/>
      <c r="G117" s="5"/>
      <c r="H117" s="5"/>
      <c r="I117" s="5"/>
      <c r="J117" s="5"/>
      <c r="K117" s="5"/>
    </row>
    <row r="118" spans="2:11" ht="24" x14ac:dyDescent="0.25">
      <c r="B118" s="975"/>
      <c r="C118" s="94"/>
      <c r="D118" s="46" t="s">
        <v>1425</v>
      </c>
      <c r="E118" s="5"/>
      <c r="F118" s="5"/>
      <c r="G118" s="5"/>
      <c r="H118" s="5"/>
      <c r="I118" s="5"/>
      <c r="J118" s="5"/>
      <c r="K118" s="5"/>
    </row>
    <row r="119" spans="2:11" ht="36" x14ac:dyDescent="0.25">
      <c r="B119" s="975"/>
      <c r="C119" s="94"/>
      <c r="D119" s="46" t="s">
        <v>1426</v>
      </c>
      <c r="E119" s="5"/>
      <c r="F119" s="5"/>
      <c r="G119" s="5"/>
      <c r="H119" s="5"/>
      <c r="I119" s="5"/>
      <c r="J119" s="5"/>
      <c r="K119" s="5"/>
    </row>
    <row r="120" spans="2:11" ht="36" x14ac:dyDescent="0.25">
      <c r="B120" s="975"/>
      <c r="C120" s="94"/>
      <c r="D120" s="46" t="s">
        <v>1427</v>
      </c>
      <c r="E120" s="5"/>
      <c r="F120" s="5"/>
      <c r="G120" s="5"/>
      <c r="H120" s="5"/>
      <c r="I120" s="5"/>
      <c r="J120" s="5"/>
      <c r="K120" s="5"/>
    </row>
    <row r="121" spans="2:11" ht="36" x14ac:dyDescent="0.25">
      <c r="B121" s="975"/>
      <c r="C121" s="94"/>
      <c r="D121" s="46" t="s">
        <v>1428</v>
      </c>
      <c r="E121" s="5"/>
      <c r="F121" s="5"/>
      <c r="G121" s="5"/>
      <c r="H121" s="5"/>
      <c r="I121" s="5"/>
      <c r="J121" s="5"/>
      <c r="K121" s="5"/>
    </row>
    <row r="122" spans="2:11" ht="60" x14ac:dyDescent="0.25">
      <c r="B122" s="975"/>
      <c r="C122" s="94"/>
      <c r="D122" s="46" t="s">
        <v>1429</v>
      </c>
      <c r="E122" s="5"/>
      <c r="F122" s="5"/>
      <c r="G122" s="5"/>
      <c r="H122" s="5"/>
      <c r="I122" s="5"/>
      <c r="J122" s="5"/>
      <c r="K122" s="5"/>
    </row>
    <row r="123" spans="2:11" ht="48" x14ac:dyDescent="0.25">
      <c r="B123" s="975"/>
      <c r="C123" s="94"/>
      <c r="D123" s="46" t="s">
        <v>1430</v>
      </c>
      <c r="E123" s="5"/>
      <c r="F123" s="5"/>
      <c r="G123" s="5"/>
      <c r="H123" s="5"/>
      <c r="I123" s="5"/>
      <c r="J123" s="5"/>
      <c r="K123" s="5"/>
    </row>
    <row r="124" spans="2:11" ht="24" x14ac:dyDescent="0.25">
      <c r="B124" s="975"/>
      <c r="C124" s="94"/>
      <c r="D124" s="46" t="s">
        <v>1431</v>
      </c>
      <c r="E124" s="5"/>
      <c r="F124" s="5"/>
      <c r="G124" s="5"/>
      <c r="H124" s="5"/>
      <c r="I124" s="5"/>
      <c r="J124" s="5"/>
      <c r="K124" s="5"/>
    </row>
    <row r="125" spans="2:11" ht="24" x14ac:dyDescent="0.25">
      <c r="B125" s="975"/>
      <c r="C125" s="94"/>
      <c r="D125" s="46" t="s">
        <v>1432</v>
      </c>
      <c r="E125" s="5"/>
      <c r="F125" s="5"/>
      <c r="G125" s="5"/>
      <c r="H125" s="5"/>
      <c r="I125" s="5"/>
      <c r="J125" s="5"/>
      <c r="K125" s="5"/>
    </row>
    <row r="126" spans="2:11" ht="24" x14ac:dyDescent="0.25">
      <c r="B126" s="975"/>
      <c r="C126" s="94"/>
      <c r="D126" s="46" t="s">
        <v>1433</v>
      </c>
      <c r="E126" s="5"/>
      <c r="F126" s="5"/>
      <c r="G126" s="5"/>
      <c r="H126" s="5"/>
      <c r="I126" s="5"/>
      <c r="J126" s="5"/>
      <c r="K126" s="5"/>
    </row>
    <row r="127" spans="2:11" ht="24" x14ac:dyDescent="0.25">
      <c r="B127" s="975"/>
      <c r="C127" s="94"/>
      <c r="D127" s="46" t="s">
        <v>1434</v>
      </c>
      <c r="E127" s="5"/>
      <c r="F127" s="5"/>
      <c r="G127" s="5"/>
      <c r="H127" s="5"/>
      <c r="I127" s="5"/>
      <c r="J127" s="5"/>
      <c r="K127" s="5"/>
    </row>
    <row r="128" spans="2:11" ht="48" x14ac:dyDescent="0.25">
      <c r="B128" s="975"/>
      <c r="C128" s="94"/>
      <c r="D128" s="46" t="s">
        <v>1435</v>
      </c>
      <c r="E128" s="5"/>
      <c r="F128" s="5"/>
      <c r="G128" s="5"/>
      <c r="H128" s="5"/>
      <c r="I128" s="5"/>
      <c r="J128" s="5"/>
      <c r="K128" s="5"/>
    </row>
    <row r="129" spans="2:11" ht="24" x14ac:dyDescent="0.25">
      <c r="B129" s="975"/>
      <c r="C129" s="94"/>
      <c r="D129" s="46" t="s">
        <v>1436</v>
      </c>
      <c r="E129" s="5"/>
      <c r="F129" s="5"/>
      <c r="G129" s="5"/>
      <c r="H129" s="5"/>
      <c r="I129" s="5"/>
      <c r="J129" s="5"/>
      <c r="K129" s="5"/>
    </row>
    <row r="130" spans="2:11" ht="36.75" thickBot="1" x14ac:dyDescent="0.3">
      <c r="B130" s="976"/>
      <c r="C130" s="2"/>
      <c r="D130" s="40" t="s">
        <v>1437</v>
      </c>
      <c r="E130" s="5"/>
      <c r="F130" s="5"/>
      <c r="G130" s="5"/>
      <c r="H130" s="5"/>
      <c r="I130" s="5"/>
      <c r="J130" s="5"/>
      <c r="K130" s="5"/>
    </row>
    <row r="131" spans="2:11" ht="24" x14ac:dyDescent="0.25">
      <c r="B131" s="974" t="s">
        <v>722</v>
      </c>
      <c r="C131" s="94"/>
      <c r="D131" s="53" t="s">
        <v>1368</v>
      </c>
      <c r="E131" s="5"/>
      <c r="F131" s="5"/>
      <c r="G131" s="5"/>
      <c r="H131" s="5"/>
      <c r="I131" s="5"/>
      <c r="J131" s="5"/>
      <c r="K131" s="5"/>
    </row>
    <row r="132" spans="2:11" ht="25.35" customHeight="1" x14ac:dyDescent="0.25">
      <c r="B132" s="975"/>
      <c r="C132" s="94"/>
      <c r="D132" s="46" t="s">
        <v>903</v>
      </c>
      <c r="E132" s="5"/>
      <c r="F132" s="5"/>
      <c r="G132" s="5"/>
      <c r="H132" s="5"/>
      <c r="I132" s="5"/>
      <c r="J132" s="5"/>
      <c r="K132" s="5"/>
    </row>
    <row r="133" spans="2:11" x14ac:dyDescent="0.25">
      <c r="B133" s="975"/>
      <c r="C133" s="94"/>
      <c r="D133" s="46" t="s">
        <v>723</v>
      </c>
      <c r="E133" s="5"/>
      <c r="F133" s="5"/>
      <c r="G133" s="5"/>
      <c r="H133" s="5"/>
      <c r="I133" s="5"/>
      <c r="J133" s="5"/>
      <c r="K133" s="5"/>
    </row>
    <row r="134" spans="2:11" ht="37.5" x14ac:dyDescent="0.25">
      <c r="B134" s="975"/>
      <c r="C134" s="94"/>
      <c r="D134" s="46" t="s">
        <v>1438</v>
      </c>
      <c r="E134" s="5"/>
      <c r="F134" s="5"/>
      <c r="G134" s="5"/>
      <c r="H134" s="5"/>
      <c r="I134" s="5"/>
      <c r="J134" s="5"/>
      <c r="K134" s="5"/>
    </row>
    <row r="135" spans="2:11" ht="37.5" x14ac:dyDescent="0.25">
      <c r="B135" s="975"/>
      <c r="C135" s="94"/>
      <c r="D135" s="46" t="s">
        <v>1439</v>
      </c>
      <c r="E135" s="5"/>
      <c r="F135" s="5"/>
      <c r="G135" s="5"/>
      <c r="H135" s="5"/>
      <c r="I135" s="5"/>
      <c r="J135" s="5"/>
      <c r="K135" s="5"/>
    </row>
    <row r="136" spans="2:11" ht="37.5" x14ac:dyDescent="0.25">
      <c r="B136" s="975"/>
      <c r="C136" s="94"/>
      <c r="D136" s="46" t="s">
        <v>1440</v>
      </c>
      <c r="E136" s="5"/>
      <c r="F136" s="5"/>
      <c r="G136" s="5"/>
      <c r="H136" s="5"/>
      <c r="I136" s="5"/>
      <c r="J136" s="5"/>
      <c r="K136" s="5"/>
    </row>
    <row r="137" spans="2:11" ht="37.5" x14ac:dyDescent="0.25">
      <c r="B137" s="975"/>
      <c r="C137" s="94"/>
      <c r="D137" s="46" t="s">
        <v>1441</v>
      </c>
      <c r="E137" s="5"/>
      <c r="F137" s="5"/>
      <c r="G137" s="5"/>
      <c r="H137" s="5"/>
      <c r="I137" s="5"/>
      <c r="J137" s="5"/>
      <c r="K137" s="5"/>
    </row>
    <row r="138" spans="2:11" x14ac:dyDescent="0.25">
      <c r="B138" s="975"/>
      <c r="C138" s="94"/>
      <c r="D138" s="46" t="s">
        <v>1442</v>
      </c>
      <c r="E138" s="5"/>
      <c r="F138" s="5"/>
      <c r="G138" s="5"/>
      <c r="H138" s="5"/>
      <c r="I138" s="5"/>
      <c r="J138" s="5"/>
      <c r="K138" s="5"/>
    </row>
    <row r="139" spans="2:11" x14ac:dyDescent="0.25">
      <c r="B139" s="975"/>
      <c r="C139" s="94"/>
      <c r="D139" s="46" t="s">
        <v>1443</v>
      </c>
      <c r="E139" s="5"/>
      <c r="F139" s="5"/>
      <c r="G139" s="5"/>
      <c r="H139" s="5"/>
      <c r="I139" s="5"/>
      <c r="J139" s="5"/>
      <c r="K139" s="5"/>
    </row>
    <row r="140" spans="2:11" x14ac:dyDescent="0.25">
      <c r="B140" s="975"/>
      <c r="C140" s="94"/>
      <c r="D140" s="46" t="s">
        <v>1444</v>
      </c>
      <c r="E140" s="5"/>
      <c r="F140" s="5"/>
      <c r="G140" s="5"/>
      <c r="H140" s="5"/>
      <c r="I140" s="5"/>
      <c r="J140" s="5"/>
      <c r="K140" s="5"/>
    </row>
    <row r="141" spans="2:11" x14ac:dyDescent="0.25">
      <c r="B141" s="975"/>
      <c r="C141" s="94"/>
      <c r="D141" s="46" t="s">
        <v>1445</v>
      </c>
      <c r="E141" s="5"/>
      <c r="F141" s="5"/>
      <c r="G141" s="5"/>
      <c r="H141" s="5"/>
      <c r="I141" s="5"/>
      <c r="J141" s="5"/>
      <c r="K141" s="5"/>
    </row>
    <row r="142" spans="2:11" ht="84" x14ac:dyDescent="0.25">
      <c r="B142" s="975"/>
      <c r="C142" s="94"/>
      <c r="D142" s="54" t="s">
        <v>892</v>
      </c>
      <c r="E142" s="5"/>
      <c r="F142" s="5"/>
      <c r="G142" s="5"/>
      <c r="H142" s="5"/>
      <c r="I142" s="5"/>
      <c r="J142" s="5"/>
      <c r="K142" s="5"/>
    </row>
    <row r="143" spans="2:11" x14ac:dyDescent="0.25">
      <c r="B143" s="975"/>
      <c r="C143" s="94"/>
      <c r="D143" s="57" t="s">
        <v>866</v>
      </c>
      <c r="E143" s="5"/>
      <c r="F143" s="5"/>
      <c r="G143" s="5"/>
      <c r="H143" s="5"/>
      <c r="I143" s="5"/>
      <c r="J143" s="5"/>
      <c r="K143" s="5"/>
    </row>
    <row r="144" spans="2:11" ht="24" x14ac:dyDescent="0.25">
      <c r="B144" s="975"/>
      <c r="C144" s="94"/>
      <c r="D144" s="53" t="s">
        <v>1446</v>
      </c>
      <c r="E144" s="5"/>
      <c r="F144" s="5"/>
      <c r="G144" s="5"/>
      <c r="H144" s="5"/>
      <c r="I144" s="5"/>
      <c r="J144" s="5"/>
      <c r="K144" s="5"/>
    </row>
    <row r="145" spans="2:11" ht="23.1" customHeight="1" x14ac:dyDescent="0.25">
      <c r="B145" s="975"/>
      <c r="C145" s="94"/>
      <c r="D145" s="46" t="s">
        <v>903</v>
      </c>
      <c r="E145" s="5"/>
      <c r="F145" s="5"/>
      <c r="G145" s="5"/>
      <c r="H145" s="5"/>
      <c r="I145" s="5"/>
      <c r="J145" s="5"/>
      <c r="K145" s="5"/>
    </row>
    <row r="146" spans="2:11" x14ac:dyDescent="0.25">
      <c r="B146" s="975"/>
      <c r="C146" s="94"/>
      <c r="D146" s="46" t="s">
        <v>723</v>
      </c>
      <c r="E146" s="5"/>
      <c r="F146" s="5"/>
      <c r="G146" s="5"/>
      <c r="H146" s="5"/>
      <c r="I146" s="5"/>
      <c r="J146" s="5"/>
      <c r="K146" s="5"/>
    </row>
    <row r="147" spans="2:11" ht="37.5" x14ac:dyDescent="0.25">
      <c r="B147" s="975"/>
      <c r="C147" s="94"/>
      <c r="D147" s="46" t="s">
        <v>1447</v>
      </c>
      <c r="E147" s="5"/>
      <c r="F147" s="5"/>
      <c r="G147" s="5"/>
      <c r="H147" s="5"/>
      <c r="I147" s="5"/>
      <c r="J147" s="5"/>
      <c r="K147" s="5"/>
    </row>
    <row r="148" spans="2:11" ht="37.5" x14ac:dyDescent="0.25">
      <c r="B148" s="975"/>
      <c r="C148" s="94"/>
      <c r="D148" s="46" t="s">
        <v>1448</v>
      </c>
      <c r="E148" s="5"/>
      <c r="F148" s="5"/>
      <c r="G148" s="5"/>
      <c r="H148" s="5"/>
      <c r="I148" s="5"/>
      <c r="J148" s="5"/>
      <c r="K148" s="5"/>
    </row>
    <row r="149" spans="2:11" ht="38.25" thickBot="1" x14ac:dyDescent="0.3">
      <c r="B149" s="976"/>
      <c r="C149" s="2"/>
      <c r="D149" s="40" t="s">
        <v>1449</v>
      </c>
      <c r="E149" s="5"/>
      <c r="F149" s="5"/>
      <c r="G149" s="5"/>
      <c r="H149" s="5"/>
      <c r="I149" s="5"/>
      <c r="J149" s="5"/>
      <c r="K149" s="5"/>
    </row>
    <row r="150" spans="2:11" x14ac:dyDescent="0.25">
      <c r="B150" s="5"/>
      <c r="D150" s="5"/>
      <c r="E150" s="5"/>
      <c r="F150" s="5"/>
      <c r="G150" s="5"/>
      <c r="H150" s="5"/>
      <c r="I150" s="5"/>
      <c r="J150" s="5"/>
      <c r="K150" s="5"/>
    </row>
    <row r="151" spans="2:11" x14ac:dyDescent="0.25">
      <c r="B151" s="5"/>
      <c r="D151" s="5"/>
      <c r="E151" s="5"/>
      <c r="F151" s="5"/>
      <c r="G151" s="5"/>
      <c r="H151" s="5"/>
      <c r="I151" s="5"/>
      <c r="J151" s="5"/>
      <c r="K151" s="5"/>
    </row>
    <row r="152" spans="2:11" x14ac:dyDescent="0.25">
      <c r="B152" s="5"/>
      <c r="D152" s="5"/>
      <c r="E152" s="5"/>
      <c r="F152" s="5"/>
      <c r="G152" s="5"/>
      <c r="H152" s="5"/>
      <c r="I152" s="5"/>
      <c r="J152" s="5"/>
      <c r="K152" s="5"/>
    </row>
    <row r="153" spans="2:11" x14ac:dyDescent="0.25">
      <c r="B153" s="5"/>
      <c r="D153" s="5"/>
      <c r="E153" s="5"/>
      <c r="F153" s="5"/>
      <c r="G153" s="5"/>
      <c r="H153" s="5"/>
      <c r="I153" s="5"/>
      <c r="J153" s="5"/>
      <c r="K153" s="5"/>
    </row>
    <row r="154" spans="2:11" x14ac:dyDescent="0.25">
      <c r="B154" s="5"/>
      <c r="D154" s="5"/>
      <c r="E154" s="5"/>
      <c r="F154" s="5"/>
      <c r="G154" s="5"/>
      <c r="H154" s="5"/>
      <c r="I154" s="5"/>
      <c r="J154" s="5"/>
      <c r="K154" s="5"/>
    </row>
    <row r="155" spans="2:11" x14ac:dyDescent="0.25">
      <c r="B155" s="5"/>
      <c r="D155" s="5"/>
      <c r="E155" s="5"/>
      <c r="F155" s="5"/>
      <c r="G155" s="5"/>
      <c r="H155" s="5"/>
      <c r="I155" s="5"/>
      <c r="J155" s="5"/>
      <c r="K155" s="5"/>
    </row>
    <row r="156" spans="2:11" x14ac:dyDescent="0.25">
      <c r="B156" s="5"/>
      <c r="D156" s="5"/>
      <c r="E156" s="5"/>
      <c r="F156" s="5"/>
      <c r="G156" s="5"/>
      <c r="H156" s="5"/>
      <c r="I156" s="5"/>
      <c r="J156" s="5"/>
      <c r="K156" s="5"/>
    </row>
    <row r="157" spans="2:11" x14ac:dyDescent="0.25">
      <c r="B157" s="5"/>
      <c r="D157" s="5"/>
      <c r="E157" s="5"/>
      <c r="F157" s="5"/>
      <c r="G157" s="5"/>
      <c r="H157" s="5"/>
      <c r="I157" s="5"/>
      <c r="J157" s="5"/>
      <c r="K157" s="5"/>
    </row>
    <row r="158" spans="2:11" x14ac:dyDescent="0.25">
      <c r="B158" s="5"/>
      <c r="D158" s="5"/>
      <c r="E158" s="5"/>
      <c r="F158" s="5"/>
      <c r="G158" s="5"/>
      <c r="H158" s="5"/>
      <c r="I158" s="5"/>
      <c r="J158" s="5"/>
      <c r="K158" s="5"/>
    </row>
    <row r="159" spans="2:11" x14ac:dyDescent="0.25">
      <c r="B159" s="5"/>
      <c r="D159" s="5"/>
      <c r="E159" s="5"/>
      <c r="F159" s="5"/>
      <c r="G159" s="5"/>
      <c r="H159" s="5"/>
      <c r="I159" s="5"/>
      <c r="J159" s="5"/>
      <c r="K159" s="5"/>
    </row>
    <row r="160" spans="2:11" x14ac:dyDescent="0.25">
      <c r="B160" s="5"/>
      <c r="D160" s="5"/>
      <c r="E160" s="5"/>
      <c r="F160" s="5"/>
      <c r="G160" s="5"/>
      <c r="H160" s="5"/>
      <c r="I160" s="5"/>
      <c r="J160" s="5"/>
      <c r="K160" s="5"/>
    </row>
    <row r="161" spans="2:11" x14ac:dyDescent="0.25">
      <c r="B161" s="5"/>
      <c r="D161" s="5"/>
      <c r="E161" s="5"/>
      <c r="F161" s="5"/>
      <c r="G161" s="5"/>
      <c r="H161" s="5"/>
      <c r="I161" s="5"/>
      <c r="J161" s="5"/>
      <c r="K161" s="5"/>
    </row>
    <row r="162" spans="2:11" x14ac:dyDescent="0.25">
      <c r="B162" s="5"/>
      <c r="D162" s="5"/>
      <c r="E162" s="5"/>
      <c r="F162" s="5"/>
      <c r="G162" s="5"/>
      <c r="H162" s="5"/>
      <c r="I162" s="5"/>
      <c r="J162" s="5"/>
      <c r="K162" s="5"/>
    </row>
    <row r="163" spans="2:11" x14ac:dyDescent="0.25">
      <c r="B163" s="5"/>
      <c r="D163" s="5"/>
      <c r="E163" s="5"/>
      <c r="F163" s="5"/>
      <c r="G163" s="5"/>
      <c r="H163" s="5"/>
      <c r="I163" s="5"/>
      <c r="J163" s="5"/>
      <c r="K163" s="5"/>
    </row>
    <row r="164" spans="2:11" x14ac:dyDescent="0.25">
      <c r="B164" s="5"/>
      <c r="D164" s="5"/>
      <c r="E164" s="5"/>
      <c r="F164" s="5"/>
      <c r="G164" s="5"/>
      <c r="H164" s="5"/>
      <c r="I164" s="5"/>
      <c r="J164" s="5"/>
      <c r="K164" s="5"/>
    </row>
    <row r="165" spans="2:11" x14ac:dyDescent="0.25">
      <c r="B165" s="5"/>
      <c r="D165" s="5"/>
      <c r="E165" s="5"/>
      <c r="F165" s="5"/>
      <c r="G165" s="5"/>
      <c r="H165" s="5"/>
      <c r="I165" s="5"/>
      <c r="J165" s="5"/>
      <c r="K165" s="5"/>
    </row>
    <row r="166" spans="2:11" x14ac:dyDescent="0.25">
      <c r="B166" s="5"/>
      <c r="D166" s="5"/>
      <c r="E166" s="5"/>
      <c r="F166" s="5"/>
      <c r="G166" s="5"/>
      <c r="H166" s="5"/>
      <c r="I166" s="5"/>
      <c r="J166" s="5"/>
      <c r="K166" s="5"/>
    </row>
    <row r="167" spans="2:11" x14ac:dyDescent="0.25">
      <c r="B167" s="5"/>
      <c r="D167" s="5"/>
      <c r="E167" s="5"/>
      <c r="F167" s="5"/>
      <c r="G167" s="5"/>
      <c r="H167" s="5"/>
      <c r="I167" s="5"/>
      <c r="J167" s="5"/>
      <c r="K167" s="5"/>
    </row>
    <row r="168" spans="2:11" x14ac:dyDescent="0.25">
      <c r="B168" s="5"/>
      <c r="D168" s="5"/>
      <c r="E168" s="5"/>
      <c r="F168" s="5"/>
      <c r="G168" s="5"/>
      <c r="H168" s="5"/>
      <c r="I168" s="5"/>
      <c r="J168" s="5"/>
      <c r="K168" s="5"/>
    </row>
    <row r="169" spans="2:11" x14ac:dyDescent="0.25">
      <c r="B169" s="5"/>
      <c r="D169" s="5"/>
      <c r="E169" s="5"/>
      <c r="F169" s="5"/>
      <c r="G169" s="5"/>
      <c r="H169" s="5"/>
      <c r="I169" s="5"/>
      <c r="J169" s="5"/>
      <c r="K169" s="5"/>
    </row>
    <row r="170" spans="2:11" x14ac:dyDescent="0.25">
      <c r="B170" s="5"/>
      <c r="D170" s="5"/>
      <c r="E170" s="5"/>
      <c r="F170" s="5"/>
      <c r="G170" s="5"/>
      <c r="H170" s="5"/>
      <c r="I170" s="5"/>
      <c r="J170" s="5"/>
      <c r="K170" s="5"/>
    </row>
    <row r="171" spans="2:11" x14ac:dyDescent="0.25">
      <c r="B171" s="5"/>
      <c r="D171" s="5"/>
      <c r="E171" s="5"/>
      <c r="F171" s="5"/>
      <c r="G171" s="5"/>
      <c r="H171" s="5"/>
      <c r="I171" s="5"/>
      <c r="J171" s="5"/>
      <c r="K171" s="5"/>
    </row>
    <row r="172" spans="2:11" x14ac:dyDescent="0.25">
      <c r="B172" s="5"/>
      <c r="D172" s="5"/>
      <c r="E172" s="5"/>
      <c r="F172" s="5"/>
      <c r="G172" s="5"/>
      <c r="H172" s="5"/>
      <c r="I172" s="5"/>
      <c r="J172" s="5"/>
      <c r="K172" s="5"/>
    </row>
    <row r="173" spans="2:11" x14ac:dyDescent="0.25">
      <c r="B173" s="5"/>
      <c r="D173" s="5"/>
      <c r="E173" s="5"/>
      <c r="F173" s="5"/>
      <c r="G173" s="5"/>
      <c r="H173" s="5"/>
      <c r="I173" s="5"/>
      <c r="J173" s="5"/>
      <c r="K173" s="5"/>
    </row>
    <row r="174" spans="2:11" x14ac:dyDescent="0.25">
      <c r="B174" s="5"/>
      <c r="D174" s="5"/>
      <c r="E174" s="5"/>
      <c r="F174" s="5"/>
      <c r="G174" s="5"/>
      <c r="H174" s="5"/>
      <c r="I174" s="5"/>
      <c r="J174" s="5"/>
      <c r="K174" s="5"/>
    </row>
    <row r="175" spans="2:11" x14ac:dyDescent="0.25">
      <c r="B175" s="5"/>
      <c r="D175" s="5"/>
      <c r="E175" s="5"/>
      <c r="F175" s="5"/>
      <c r="G175" s="5"/>
      <c r="H175" s="5"/>
      <c r="I175" s="5"/>
      <c r="J175" s="5"/>
      <c r="K175" s="5"/>
    </row>
    <row r="176" spans="2:11" x14ac:dyDescent="0.25">
      <c r="B176" s="5"/>
      <c r="D176" s="5"/>
      <c r="E176" s="5"/>
      <c r="F176" s="5"/>
      <c r="G176" s="5"/>
      <c r="H176" s="5"/>
      <c r="I176" s="5"/>
      <c r="J176" s="5"/>
      <c r="K176" s="5"/>
    </row>
    <row r="177" spans="2:11" x14ac:dyDescent="0.25">
      <c r="B177" s="5"/>
      <c r="D177" s="5"/>
      <c r="E177" s="5"/>
      <c r="F177" s="5"/>
      <c r="G177" s="5"/>
      <c r="H177" s="5"/>
      <c r="I177" s="5"/>
      <c r="J177" s="5"/>
      <c r="K177" s="5"/>
    </row>
    <row r="178" spans="2:11" x14ac:dyDescent="0.25">
      <c r="B178" s="5"/>
      <c r="D178" s="5"/>
      <c r="E178" s="5"/>
      <c r="F178" s="5"/>
      <c r="G178" s="5"/>
      <c r="H178" s="5"/>
      <c r="I178" s="5"/>
      <c r="J178" s="5"/>
      <c r="K178" s="5"/>
    </row>
  </sheetData>
  <sheetProtection insertColumns="0" insertRows="0"/>
  <mergeCells count="36">
    <mergeCell ref="A1:P1"/>
    <mergeCell ref="A2:P2"/>
    <mergeCell ref="A3:P3"/>
    <mergeCell ref="A4:D4"/>
    <mergeCell ref="A5:P5"/>
    <mergeCell ref="B49:E49"/>
    <mergeCell ref="B50:B56"/>
    <mergeCell ref="B58:E58"/>
    <mergeCell ref="B59:B65"/>
    <mergeCell ref="D15:L15"/>
    <mergeCell ref="D16:L16"/>
    <mergeCell ref="D19:L19"/>
    <mergeCell ref="D20:L20"/>
    <mergeCell ref="D31:L31"/>
    <mergeCell ref="D32:L32"/>
    <mergeCell ref="B15:B19"/>
    <mergeCell ref="B10:D10"/>
    <mergeCell ref="E12:R12"/>
    <mergeCell ref="E13:R13"/>
    <mergeCell ref="D33:L33"/>
    <mergeCell ref="D44:L44"/>
    <mergeCell ref="E21:E22"/>
    <mergeCell ref="F21:J21"/>
    <mergeCell ref="C34:C35"/>
    <mergeCell ref="D34:D35"/>
    <mergeCell ref="E34:E35"/>
    <mergeCell ref="F34:K34"/>
    <mergeCell ref="C21:C22"/>
    <mergeCell ref="D21:D22"/>
    <mergeCell ref="F10:S10"/>
    <mergeCell ref="F11:S11"/>
    <mergeCell ref="B72:E73"/>
    <mergeCell ref="B75:D75"/>
    <mergeCell ref="B77:B93"/>
    <mergeCell ref="B95:B130"/>
    <mergeCell ref="B131:B149"/>
  </mergeCells>
  <conditionalFormatting sqref="E12:R12">
    <cfRule type="expression" dxfId="47" priority="1">
      <formula>E11="SI SE REPORTA"</formula>
    </cfRule>
  </conditionalFormatting>
  <conditionalFormatting sqref="F10">
    <cfRule type="notContainsBlanks" dxfId="46" priority="4">
      <formula>LEN(TRIM(F10))&gt;0</formula>
    </cfRule>
  </conditionalFormatting>
  <conditionalFormatting sqref="F11:S11">
    <cfRule type="expression" dxfId="45" priority="2">
      <formula>E11="NO SE REPORTA"</formula>
    </cfRule>
    <cfRule type="expression" dxfId="44" priority="3">
      <formula>E10="NO APLICA"</formula>
    </cfRule>
  </conditionalFormatting>
  <conditionalFormatting sqref="H30">
    <cfRule type="containsText" dxfId="43" priority="5" operator="containsText" text="ERROR">
      <formula>NOT(ISERROR(SEARCH("ERROR",H30)))</formula>
    </cfRule>
  </conditionalFormatting>
  <dataValidations count="6">
    <dataValidation type="list" allowBlank="1" showInputMessage="1" showErrorMessage="1" sqref="E10" xr:uid="{00000000-0002-0000-1B00-000005000000}">
      <formula1>SI</formula1>
    </dataValidation>
    <dataValidation type="list" allowBlank="1" showInputMessage="1" showErrorMessage="1" sqref="E11" xr:uid="{00000000-0002-0000-1B00-000004000000}">
      <formula1>REPORTE</formula1>
    </dataValidation>
    <dataValidation allowBlank="1" showInputMessage="1" showErrorMessage="1" sqref="G43:I43 I23:I30 H30 J36:K43" xr:uid="{00000000-0002-0000-1B00-000003000000}"/>
    <dataValidation type="decimal" allowBlank="1" showInputMessage="1" showErrorMessage="1" errorTitle="ERROR" error="Escriba un valor entre 0% y 100%" sqref="F23:H29" xr:uid="{00000000-0002-0000-1B00-000002000000}">
      <formula1>0</formula1>
      <formula2>1</formula2>
    </dataValidation>
    <dataValidation type="whole" operator="greaterThanOrEqual" allowBlank="1" showInputMessage="1" showErrorMessage="1" errorTitle="ERROR" error="Valor en PESOS (sin centavos)" sqref="F36:I42" xr:uid="{00000000-0002-0000-1B00-000001000000}">
      <formula1>0</formula1>
    </dataValidation>
    <dataValidation type="whole" operator="greaterThanOrEqual" allowBlank="1" showErrorMessage="1" errorTitle="ERROR" error="Escriba un número igual o mayor que 0" promptTitle="ERROR" prompt="Escriba un número igual o mayor que 0" sqref="E18:H18" xr:uid="{00000000-0002-0000-1B00-000000000000}">
      <formula1>0</formula1>
    </dataValidation>
  </dataValidations>
  <hyperlinks>
    <hyperlink ref="B9" location="'ANEXO 3'!A1" display="VOLVER AL INDICE" xr:uid="{0D409342-1D55-4AB0-AEED-3F44CB2665B0}"/>
    <hyperlink ref="E54" r:id="rId1" xr:uid="{FBFC6627-A41B-4051-8C7E-9F0EC1A912EE}"/>
  </hyperlinks>
  <pageMargins left="0.25" right="0.25" top="0.75" bottom="0.75" header="0.3" footer="0.3"/>
  <pageSetup paperSize="178" orientation="landscape" horizontalDpi="1200" verticalDpi="1200"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62A10-72DE-4FEB-91BA-C21C37C96D93}">
  <dimension ref="A1:U180"/>
  <sheetViews>
    <sheetView showGridLines="0" topLeftCell="C41" zoomScale="98" zoomScaleNormal="98" workbookViewId="0">
      <selection activeCell="D18" sqref="D18:I18"/>
    </sheetView>
  </sheetViews>
  <sheetFormatPr baseColWidth="10" defaultRowHeight="15" x14ac:dyDescent="0.25"/>
  <cols>
    <col min="1" max="1" width="1.85546875" customWidth="1"/>
    <col min="2" max="2" width="10.85546875" customWidth="1"/>
    <col min="3" max="3" width="5" style="87" bestFit="1" customWidth="1"/>
    <col min="4" max="4" width="34.85546875" customWidth="1"/>
    <col min="5" max="5" width="18.140625" customWidth="1"/>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29</v>
      </c>
      <c r="B5" s="998"/>
      <c r="C5" s="998"/>
      <c r="D5" s="998"/>
      <c r="E5" s="998"/>
      <c r="F5" s="998"/>
      <c r="G5" s="998"/>
      <c r="H5" s="998"/>
      <c r="I5" s="998"/>
      <c r="J5" s="998"/>
      <c r="K5" s="998"/>
      <c r="L5" s="998"/>
      <c r="M5" s="998"/>
      <c r="N5" s="998"/>
      <c r="O5" s="998"/>
      <c r="P5" s="999"/>
    </row>
    <row r="6" spans="1:21" x14ac:dyDescent="0.25">
      <c r="B6" s="1" t="s">
        <v>626</v>
      </c>
      <c r="C6" s="76"/>
      <c r="D6" s="5"/>
      <c r="E6" s="74"/>
      <c r="F6" s="5" t="s">
        <v>627</v>
      </c>
      <c r="G6" s="5"/>
      <c r="H6" s="5"/>
      <c r="I6" s="5"/>
      <c r="J6" s="5"/>
      <c r="K6" s="5"/>
    </row>
    <row r="7" spans="1:21" ht="15.75" thickBot="1" x14ac:dyDescent="0.3">
      <c r="B7" s="75"/>
      <c r="C7" s="77"/>
      <c r="D7" s="5"/>
      <c r="E7" s="17"/>
      <c r="F7" s="5" t="s">
        <v>628</v>
      </c>
      <c r="G7" s="5"/>
      <c r="H7" s="5"/>
      <c r="I7" s="5"/>
      <c r="J7" s="5"/>
      <c r="K7" s="5"/>
    </row>
    <row r="8" spans="1:21" ht="15.75" thickBot="1" x14ac:dyDescent="0.3">
      <c r="B8" s="170" t="s">
        <v>629</v>
      </c>
      <c r="C8" s="211">
        <v>2024</v>
      </c>
      <c r="D8" s="216">
        <f>IF(E10="NO APLICA","NO APLICA",IF(E11="NO SE REPORTA","SIN INFORMACION",+E42))</f>
        <v>0</v>
      </c>
      <c r="E8" s="212"/>
      <c r="F8" s="5" t="s">
        <v>630</v>
      </c>
      <c r="G8" s="5"/>
      <c r="H8" s="5"/>
      <c r="I8" s="5"/>
      <c r="J8" s="5"/>
      <c r="K8" s="5"/>
    </row>
    <row r="9" spans="1:21" x14ac:dyDescent="0.25">
      <c r="B9" s="358" t="s">
        <v>631</v>
      </c>
      <c r="D9" s="5"/>
      <c r="E9" s="5"/>
      <c r="F9" s="5"/>
      <c r="G9" s="5"/>
      <c r="H9" s="5"/>
      <c r="I9" s="5"/>
      <c r="J9" s="5"/>
      <c r="K9" s="5"/>
    </row>
    <row r="10" spans="1:21" x14ac:dyDescent="0.25">
      <c r="B10" s="1008" t="s">
        <v>632</v>
      </c>
      <c r="C10" s="1008"/>
      <c r="D10" s="1008"/>
      <c r="E10" s="361" t="s">
        <v>633</v>
      </c>
      <c r="F10" s="99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96"/>
      <c r="H10" s="996"/>
      <c r="I10" s="996"/>
      <c r="J10" s="996"/>
      <c r="K10" s="996"/>
      <c r="L10" s="996"/>
      <c r="M10" s="996"/>
      <c r="N10" s="996"/>
      <c r="O10" s="996"/>
      <c r="P10" s="996"/>
      <c r="Q10" s="996"/>
      <c r="R10" s="996"/>
      <c r="S10" s="996"/>
      <c r="T10" s="5"/>
      <c r="U10" s="5"/>
    </row>
    <row r="11" spans="1:21" ht="14.45" customHeight="1" x14ac:dyDescent="0.25">
      <c r="B11" s="360"/>
      <c r="C11" s="88"/>
      <c r="D11" s="171" t="str">
        <f>IF(E10="SI APLICA","¿El indicador no se reporta por limitaciones de información disponible? ","")</f>
        <v xml:space="preserve">¿El indicador no se reporta por limitaciones de información disponible? </v>
      </c>
      <c r="E11" s="362" t="s">
        <v>634</v>
      </c>
      <c r="F11" s="1009"/>
      <c r="G11" s="1010"/>
      <c r="H11" s="1010"/>
      <c r="I11" s="1010"/>
      <c r="J11" s="1010"/>
      <c r="K11" s="1010"/>
      <c r="L11" s="1010"/>
      <c r="M11" s="1010"/>
      <c r="N11" s="1010"/>
      <c r="O11" s="1010"/>
      <c r="P11" s="1010"/>
      <c r="Q11" s="1010"/>
      <c r="R11" s="1010"/>
      <c r="S11" s="1010"/>
    </row>
    <row r="12" spans="1:21" ht="23.45" customHeight="1" x14ac:dyDescent="0.25">
      <c r="B12" s="358"/>
      <c r="C12" s="88"/>
      <c r="D12" s="171" t="str">
        <f>IF(E11="SI SE REPORTA","¿Qué programas o proyectos del Plan de Acción están asociados al indicador? ","")</f>
        <v xml:space="preserve">¿Qué programas o proyectos del Plan de Acción están asociados al indicador? </v>
      </c>
      <c r="E12" s="1011" t="s">
        <v>2365</v>
      </c>
      <c r="F12" s="1011"/>
      <c r="G12" s="1011"/>
      <c r="H12" s="1011"/>
      <c r="I12" s="1011"/>
      <c r="J12" s="1011"/>
      <c r="K12" s="1011"/>
      <c r="L12" s="1011"/>
      <c r="M12" s="1011"/>
      <c r="N12" s="1011"/>
      <c r="O12" s="1011"/>
      <c r="P12" s="1011"/>
      <c r="Q12" s="1011"/>
      <c r="R12" s="1011"/>
    </row>
    <row r="13" spans="1:21" ht="21.95" customHeight="1" x14ac:dyDescent="0.25">
      <c r="B13" s="358"/>
      <c r="C13" s="88"/>
      <c r="D13" s="171" t="s">
        <v>635</v>
      </c>
      <c r="E13" s="1012"/>
      <c r="F13" s="1013"/>
      <c r="G13" s="1013"/>
      <c r="H13" s="1013"/>
      <c r="I13" s="1013"/>
      <c r="J13" s="1013"/>
      <c r="K13" s="1013"/>
      <c r="L13" s="1013"/>
      <c r="M13" s="1013"/>
      <c r="N13" s="1013"/>
      <c r="O13" s="1013"/>
      <c r="P13" s="1013"/>
      <c r="Q13" s="1013"/>
      <c r="R13" s="1014"/>
    </row>
    <row r="14" spans="1:21" ht="6.95" customHeight="1" thickBot="1" x14ac:dyDescent="0.3">
      <c r="B14" s="358"/>
      <c r="D14" s="5"/>
      <c r="E14" s="5"/>
      <c r="F14" s="5"/>
      <c r="G14" s="5"/>
      <c r="H14" s="5"/>
      <c r="I14" s="5"/>
      <c r="J14" s="5"/>
      <c r="K14" s="5"/>
    </row>
    <row r="15" spans="1:21" ht="15.6" customHeight="1" thickTop="1" thickBot="1" x14ac:dyDescent="0.3">
      <c r="B15" s="1066" t="s">
        <v>636</v>
      </c>
      <c r="C15" s="89"/>
      <c r="D15" s="956" t="s">
        <v>940</v>
      </c>
      <c r="E15" s="957"/>
      <c r="F15" s="957"/>
      <c r="G15" s="957"/>
      <c r="H15" s="957"/>
      <c r="I15" s="957"/>
      <c r="J15" s="957"/>
      <c r="K15" s="957"/>
      <c r="L15" s="1078"/>
    </row>
    <row r="16" spans="1:21" ht="15.75" thickBot="1" x14ac:dyDescent="0.3">
      <c r="B16" s="1067"/>
      <c r="C16" s="90" t="s">
        <v>585</v>
      </c>
      <c r="D16" s="38" t="s">
        <v>849</v>
      </c>
      <c r="E16" s="38" t="s">
        <v>587</v>
      </c>
      <c r="F16" s="38" t="s">
        <v>588</v>
      </c>
      <c r="G16" s="38" t="s">
        <v>589</v>
      </c>
      <c r="H16" s="38" t="s">
        <v>590</v>
      </c>
      <c r="I16" s="38" t="s">
        <v>1251</v>
      </c>
      <c r="J16" s="5"/>
      <c r="L16" s="21"/>
    </row>
    <row r="17" spans="2:12" ht="48.75" thickBot="1" x14ac:dyDescent="0.3">
      <c r="B17" s="1067"/>
      <c r="C17" s="91" t="s">
        <v>765</v>
      </c>
      <c r="D17" s="40" t="s">
        <v>1450</v>
      </c>
      <c r="E17" s="6">
        <v>1</v>
      </c>
      <c r="F17" s="6"/>
      <c r="G17" s="6"/>
      <c r="H17" s="6"/>
      <c r="I17" s="42">
        <f>SUM(E17:H17)</f>
        <v>1</v>
      </c>
      <c r="J17" s="5"/>
      <c r="L17" s="21"/>
    </row>
    <row r="18" spans="2:12" ht="15.75" thickBot="1" x14ac:dyDescent="0.3">
      <c r="B18" s="1067"/>
      <c r="C18" s="91" t="s">
        <v>767</v>
      </c>
      <c r="D18" s="40" t="s">
        <v>1385</v>
      </c>
      <c r="E18" s="186"/>
      <c r="F18" s="186"/>
      <c r="G18" s="186"/>
      <c r="H18" s="186"/>
      <c r="I18" s="134">
        <f>SUM(E18:H18)</f>
        <v>0</v>
      </c>
      <c r="J18" s="5"/>
      <c r="L18" s="21"/>
    </row>
    <row r="19" spans="2:12" ht="15.75" thickBot="1" x14ac:dyDescent="0.3">
      <c r="B19" s="1067"/>
      <c r="C19" s="91" t="s">
        <v>769</v>
      </c>
      <c r="D19" s="40" t="s">
        <v>1451</v>
      </c>
      <c r="E19" s="186"/>
      <c r="F19" s="186"/>
      <c r="G19" s="186"/>
      <c r="H19" s="186"/>
      <c r="I19" s="134">
        <f>SUM(E19:H19)</f>
        <v>0</v>
      </c>
      <c r="J19" s="5"/>
      <c r="L19" s="21"/>
    </row>
    <row r="20" spans="2:12" x14ac:dyDescent="0.25">
      <c r="B20" s="218"/>
      <c r="C20" s="92"/>
      <c r="D20" s="962"/>
      <c r="E20" s="963"/>
      <c r="F20" s="963"/>
      <c r="G20" s="963"/>
      <c r="H20" s="963"/>
      <c r="I20" s="963"/>
      <c r="J20" s="963"/>
      <c r="K20" s="963"/>
      <c r="L20" s="1079"/>
    </row>
    <row r="21" spans="2:12" ht="15.75" thickBot="1" x14ac:dyDescent="0.3">
      <c r="B21" s="218"/>
      <c r="C21" s="92"/>
      <c r="D21" s="986" t="s">
        <v>1452</v>
      </c>
      <c r="E21" s="987"/>
      <c r="F21" s="987"/>
      <c r="G21" s="987"/>
      <c r="H21" s="987"/>
      <c r="I21" s="987"/>
      <c r="J21" s="987"/>
      <c r="K21" s="987"/>
      <c r="L21" s="1081"/>
    </row>
    <row r="22" spans="2:12" ht="15" customHeight="1" thickBot="1" x14ac:dyDescent="0.3">
      <c r="B22" s="218"/>
      <c r="C22" s="1045" t="s">
        <v>585</v>
      </c>
      <c r="D22" s="974" t="s">
        <v>868</v>
      </c>
      <c r="E22" s="974" t="s">
        <v>1254</v>
      </c>
      <c r="F22" s="983" t="s">
        <v>1255</v>
      </c>
      <c r="G22" s="985"/>
      <c r="H22" s="983" t="s">
        <v>1325</v>
      </c>
      <c r="I22" s="984"/>
      <c r="J22" s="984"/>
      <c r="K22" s="985"/>
      <c r="L22" s="117"/>
    </row>
    <row r="23" spans="2:12" ht="34.5" thickBot="1" x14ac:dyDescent="0.3">
      <c r="B23" s="218"/>
      <c r="C23" s="1046"/>
      <c r="D23" s="976"/>
      <c r="E23" s="976"/>
      <c r="F23" s="65" t="s">
        <v>1256</v>
      </c>
      <c r="G23" s="66" t="s">
        <v>1257</v>
      </c>
      <c r="H23" s="65" t="s">
        <v>1385</v>
      </c>
      <c r="I23" s="65" t="s">
        <v>951</v>
      </c>
      <c r="J23" s="65" t="s">
        <v>872</v>
      </c>
      <c r="K23" s="65" t="s">
        <v>873</v>
      </c>
      <c r="L23" s="11"/>
    </row>
    <row r="24" spans="2:12" ht="108.75" thickBot="1" x14ac:dyDescent="0.3">
      <c r="B24" s="218"/>
      <c r="C24" s="270">
        <v>1</v>
      </c>
      <c r="D24" s="776" t="s">
        <v>2361</v>
      </c>
      <c r="E24" s="776" t="s">
        <v>2364</v>
      </c>
      <c r="F24" s="780"/>
      <c r="G24" s="780">
        <v>1</v>
      </c>
      <c r="H24" s="779">
        <v>155000000</v>
      </c>
      <c r="I24" s="779">
        <f>H24+30000000</f>
        <v>185000000</v>
      </c>
      <c r="J24" s="186"/>
      <c r="K24" s="186"/>
      <c r="L24" s="11"/>
    </row>
    <row r="25" spans="2:12" ht="15.75" thickBot="1" x14ac:dyDescent="0.3">
      <c r="B25" s="218"/>
      <c r="C25" s="270">
        <v>2</v>
      </c>
      <c r="D25" s="30"/>
      <c r="E25" s="29"/>
      <c r="F25" s="31"/>
      <c r="G25" s="31"/>
      <c r="H25" s="186"/>
      <c r="I25" s="186"/>
      <c r="J25" s="186"/>
      <c r="K25" s="186"/>
      <c r="L25" s="11"/>
    </row>
    <row r="26" spans="2:12" ht="15.75" thickBot="1" x14ac:dyDescent="0.3">
      <c r="B26" s="218"/>
      <c r="C26" s="270">
        <v>3</v>
      </c>
      <c r="D26" s="30"/>
      <c r="E26" s="29"/>
      <c r="F26" s="31"/>
      <c r="G26" s="31"/>
      <c r="H26" s="186"/>
      <c r="I26" s="186"/>
      <c r="J26" s="186"/>
      <c r="K26" s="186"/>
      <c r="L26" s="11"/>
    </row>
    <row r="27" spans="2:12" ht="15.75" thickBot="1" x14ac:dyDescent="0.3">
      <c r="B27" s="218"/>
      <c r="C27" s="270">
        <v>4</v>
      </c>
      <c r="D27" s="30"/>
      <c r="E27" s="29"/>
      <c r="F27" s="31"/>
      <c r="G27" s="31"/>
      <c r="H27" s="186"/>
      <c r="I27" s="186"/>
      <c r="J27" s="186"/>
      <c r="K27" s="186"/>
      <c r="L27" s="11"/>
    </row>
    <row r="28" spans="2:12" ht="15.75" thickBot="1" x14ac:dyDescent="0.3">
      <c r="B28" s="218"/>
      <c r="C28" s="270">
        <v>5</v>
      </c>
      <c r="D28" s="30"/>
      <c r="E28" s="29"/>
      <c r="F28" s="31"/>
      <c r="G28" s="31"/>
      <c r="H28" s="186"/>
      <c r="I28" s="186"/>
      <c r="J28" s="186"/>
      <c r="K28" s="186"/>
      <c r="L28" s="11"/>
    </row>
    <row r="29" spans="2:12" ht="15.75" thickBot="1" x14ac:dyDescent="0.3">
      <c r="B29" s="218"/>
      <c r="C29" s="270">
        <v>6</v>
      </c>
      <c r="D29" s="30"/>
      <c r="E29" s="29"/>
      <c r="F29" s="31"/>
      <c r="G29" s="31"/>
      <c r="H29" s="186"/>
      <c r="I29" s="186"/>
      <c r="J29" s="186"/>
      <c r="K29" s="186"/>
      <c r="L29" s="11"/>
    </row>
    <row r="30" spans="2:12" ht="15.75" thickBot="1" x14ac:dyDescent="0.3">
      <c r="B30" s="218"/>
      <c r="C30" s="76"/>
      <c r="D30" s="45" t="s">
        <v>764</v>
      </c>
      <c r="E30" s="126"/>
      <c r="F30" s="127"/>
      <c r="G30" s="38"/>
      <c r="H30" s="135">
        <f>SUM(H24:H29)</f>
        <v>155000000</v>
      </c>
      <c r="I30" s="135">
        <f>SUM(I24:I29)</f>
        <v>185000000</v>
      </c>
      <c r="J30" s="135">
        <f>SUM(J24:J29)</f>
        <v>0</v>
      </c>
      <c r="K30" s="135">
        <f>SUM(K24:K29)</f>
        <v>0</v>
      </c>
      <c r="L30" s="12"/>
    </row>
    <row r="31" spans="2:12" x14ac:dyDescent="0.25">
      <c r="B31" s="218"/>
      <c r="C31" s="92"/>
      <c r="D31" s="962" t="s">
        <v>1453</v>
      </c>
      <c r="E31" s="963"/>
      <c r="F31" s="963"/>
      <c r="G31" s="963"/>
      <c r="H31" s="963"/>
      <c r="I31" s="963"/>
      <c r="J31" s="963"/>
      <c r="K31" s="963"/>
      <c r="L31" s="1079"/>
    </row>
    <row r="32" spans="2:12" ht="24" customHeight="1" thickBot="1" x14ac:dyDescent="0.3">
      <c r="B32" s="218"/>
      <c r="C32" s="92"/>
      <c r="D32" s="962" t="s">
        <v>1454</v>
      </c>
      <c r="E32" s="963"/>
      <c r="F32" s="963"/>
      <c r="G32" s="963"/>
      <c r="H32" s="963"/>
      <c r="I32" s="963"/>
      <c r="J32" s="963"/>
      <c r="K32" s="963"/>
      <c r="L32" s="1079"/>
    </row>
    <row r="33" spans="2:14" ht="15.75" thickBot="1" x14ac:dyDescent="0.3">
      <c r="B33" s="218"/>
      <c r="C33" s="1156" t="s">
        <v>585</v>
      </c>
      <c r="D33" s="1119" t="s">
        <v>1329</v>
      </c>
      <c r="E33" s="67" t="s">
        <v>1455</v>
      </c>
      <c r="F33" s="1122" t="s">
        <v>1330</v>
      </c>
      <c r="G33" s="1123"/>
      <c r="H33" s="1147" t="s">
        <v>593</v>
      </c>
      <c r="I33" s="5"/>
      <c r="J33" s="5"/>
      <c r="L33" s="21"/>
    </row>
    <row r="34" spans="2:14" x14ac:dyDescent="0.25">
      <c r="B34" s="218"/>
      <c r="C34" s="1157"/>
      <c r="D34" s="1120"/>
      <c r="E34" s="974" t="s">
        <v>1456</v>
      </c>
      <c r="F34" s="974" t="s">
        <v>1331</v>
      </c>
      <c r="G34" s="46" t="s">
        <v>1332</v>
      </c>
      <c r="H34" s="1148"/>
      <c r="I34" s="5"/>
      <c r="J34" s="5"/>
      <c r="L34" s="21"/>
    </row>
    <row r="35" spans="2:14" ht="24.75" thickBot="1" x14ac:dyDescent="0.3">
      <c r="B35" s="218"/>
      <c r="C35" s="1158"/>
      <c r="D35" s="1121"/>
      <c r="E35" s="976"/>
      <c r="F35" s="976"/>
      <c r="G35" s="40" t="s">
        <v>1326</v>
      </c>
      <c r="H35" s="1149"/>
      <c r="I35" s="5"/>
      <c r="J35" s="5"/>
      <c r="L35" s="21"/>
    </row>
    <row r="36" spans="2:14" ht="15.75" thickBot="1" x14ac:dyDescent="0.3">
      <c r="B36" s="218"/>
      <c r="C36" s="318">
        <v>1</v>
      </c>
      <c r="D36" s="344"/>
      <c r="E36" s="31">
        <f t="shared" ref="E36:E41" si="0">+G24</f>
        <v>1</v>
      </c>
      <c r="F36" s="141">
        <f t="shared" ref="F36:G41" si="1">IFERROR(J24/I24,0)</f>
        <v>0</v>
      </c>
      <c r="G36" s="141">
        <f t="shared" si="1"/>
        <v>0</v>
      </c>
      <c r="H36" s="30"/>
      <c r="I36" s="5"/>
      <c r="J36" s="5"/>
      <c r="L36" s="21"/>
    </row>
    <row r="37" spans="2:14" ht="15.75" thickBot="1" x14ac:dyDescent="0.3">
      <c r="B37" s="218"/>
      <c r="C37" s="318">
        <v>2</v>
      </c>
      <c r="D37" s="344"/>
      <c r="E37" s="31">
        <f t="shared" si="0"/>
        <v>0</v>
      </c>
      <c r="F37" s="141">
        <f t="shared" si="1"/>
        <v>0</v>
      </c>
      <c r="G37" s="141">
        <f t="shared" si="1"/>
        <v>0</v>
      </c>
      <c r="H37" s="30"/>
      <c r="I37" s="5"/>
      <c r="J37" s="5"/>
      <c r="L37" s="21"/>
    </row>
    <row r="38" spans="2:14" ht="15.75" thickBot="1" x14ac:dyDescent="0.3">
      <c r="B38" s="218"/>
      <c r="C38" s="318">
        <v>3</v>
      </c>
      <c r="D38" s="344"/>
      <c r="E38" s="31">
        <f t="shared" si="0"/>
        <v>0</v>
      </c>
      <c r="F38" s="141">
        <f t="shared" si="1"/>
        <v>0</v>
      </c>
      <c r="G38" s="141">
        <f t="shared" si="1"/>
        <v>0</v>
      </c>
      <c r="H38" s="30"/>
      <c r="I38" s="5"/>
      <c r="J38" s="5"/>
      <c r="L38" s="21"/>
    </row>
    <row r="39" spans="2:14" ht="15.75" thickBot="1" x14ac:dyDescent="0.3">
      <c r="B39" s="218"/>
      <c r="C39" s="318">
        <v>4</v>
      </c>
      <c r="D39" s="344"/>
      <c r="E39" s="31">
        <f t="shared" si="0"/>
        <v>0</v>
      </c>
      <c r="F39" s="141">
        <f t="shared" si="1"/>
        <v>0</v>
      </c>
      <c r="G39" s="141">
        <f t="shared" si="1"/>
        <v>0</v>
      </c>
      <c r="H39" s="30"/>
      <c r="I39" s="5"/>
      <c r="J39" s="5"/>
      <c r="L39" s="21"/>
    </row>
    <row r="40" spans="2:14" ht="15.75" thickBot="1" x14ac:dyDescent="0.3">
      <c r="B40" s="218"/>
      <c r="C40" s="318">
        <v>5</v>
      </c>
      <c r="D40" s="344"/>
      <c r="E40" s="31">
        <f t="shared" si="0"/>
        <v>0</v>
      </c>
      <c r="F40" s="141">
        <f t="shared" si="1"/>
        <v>0</v>
      </c>
      <c r="G40" s="141">
        <f t="shared" si="1"/>
        <v>0</v>
      </c>
      <c r="H40" s="30"/>
      <c r="I40" s="5"/>
      <c r="J40" s="5"/>
      <c r="L40" s="21"/>
    </row>
    <row r="41" spans="2:14" ht="15.75" thickBot="1" x14ac:dyDescent="0.3">
      <c r="B41" s="218"/>
      <c r="C41" s="318">
        <v>6</v>
      </c>
      <c r="D41" s="344"/>
      <c r="E41" s="31">
        <f t="shared" si="0"/>
        <v>0</v>
      </c>
      <c r="F41" s="141">
        <f t="shared" si="1"/>
        <v>0</v>
      </c>
      <c r="G41" s="141">
        <f t="shared" si="1"/>
        <v>0</v>
      </c>
      <c r="H41" s="30"/>
      <c r="I41" s="5"/>
      <c r="J41" s="5"/>
      <c r="L41" s="21"/>
    </row>
    <row r="42" spans="2:14" ht="15.75" thickBot="1" x14ac:dyDescent="0.3">
      <c r="B42" s="47"/>
      <c r="C42" s="106"/>
      <c r="D42" s="196" t="str">
        <f>[5]Formulas!$D$24</f>
        <v>ERROR: LA SUMA DE LA COLUMNA DEBE SER 100%</v>
      </c>
      <c r="E42" s="204">
        <f>+D36*E36+D37*E37+D38*E38+D39*E39+D40*E40+D41*E41</f>
        <v>0</v>
      </c>
      <c r="F42" s="204">
        <f>+D36*F36+D37*F37+D38*F38+D39*F39+D40*F40+D41*F41</f>
        <v>0</v>
      </c>
      <c r="G42" s="141" t="e">
        <f>[5]Formulas!F24</f>
        <v>#DIV/0!</v>
      </c>
      <c r="H42" s="30"/>
      <c r="I42" s="22"/>
      <c r="J42" s="22"/>
      <c r="K42" s="22"/>
      <c r="L42" s="23"/>
      <c r="N42" t="s">
        <v>1457</v>
      </c>
    </row>
    <row r="43" spans="2:14" ht="15.75" thickBot="1" x14ac:dyDescent="0.3">
      <c r="B43" s="37"/>
      <c r="C43" s="88"/>
      <c r="D43" s="5"/>
      <c r="E43" s="5"/>
      <c r="F43" s="5"/>
      <c r="G43" s="5"/>
      <c r="H43" s="5"/>
      <c r="I43" s="5"/>
      <c r="J43" s="5"/>
      <c r="K43" s="5"/>
    </row>
    <row r="44" spans="2:14" ht="108.75" thickBot="1" x14ac:dyDescent="0.3">
      <c r="B44" s="52" t="s">
        <v>671</v>
      </c>
      <c r="C44" s="98"/>
      <c r="D44" s="43" t="s">
        <v>1458</v>
      </c>
      <c r="E44" s="5"/>
      <c r="F44" s="5"/>
      <c r="G44" s="5"/>
      <c r="H44" s="5"/>
      <c r="I44" s="5"/>
      <c r="J44" s="5"/>
      <c r="K44" s="5"/>
    </row>
    <row r="45" spans="2:14" ht="48.6" customHeight="1" thickBot="1" x14ac:dyDescent="0.3">
      <c r="B45" s="47" t="s">
        <v>673</v>
      </c>
      <c r="C45" s="2"/>
      <c r="D45" s="40" t="s">
        <v>953</v>
      </c>
      <c r="E45" s="5"/>
      <c r="F45" s="5"/>
      <c r="G45" s="5"/>
      <c r="H45" s="5"/>
      <c r="I45" s="5"/>
      <c r="J45" s="5"/>
      <c r="K45" s="5"/>
    </row>
    <row r="46" spans="2:14" ht="15.75" thickBot="1" x14ac:dyDescent="0.3">
      <c r="B46" s="1"/>
      <c r="C46" s="76"/>
      <c r="D46" s="5"/>
      <c r="E46" s="5"/>
      <c r="F46" s="5"/>
      <c r="G46" s="5"/>
      <c r="H46" s="5"/>
      <c r="I46" s="5"/>
      <c r="J46" s="5"/>
      <c r="K46" s="5"/>
    </row>
    <row r="47" spans="2:14" ht="24" customHeight="1" thickBot="1" x14ac:dyDescent="0.3">
      <c r="B47" s="971" t="s">
        <v>675</v>
      </c>
      <c r="C47" s="972"/>
      <c r="D47" s="972"/>
      <c r="E47" s="973"/>
      <c r="F47" s="5"/>
      <c r="G47" s="5"/>
      <c r="H47" s="5"/>
      <c r="I47" s="5"/>
      <c r="J47" s="5"/>
      <c r="K47" s="5"/>
    </row>
    <row r="48" spans="2:14" ht="36.75" thickBot="1" x14ac:dyDescent="0.3">
      <c r="B48" s="974">
        <v>1</v>
      </c>
      <c r="C48" s="94"/>
      <c r="D48" s="48" t="s">
        <v>676</v>
      </c>
      <c r="E48" s="337" t="s">
        <v>2301</v>
      </c>
      <c r="F48" s="5"/>
      <c r="G48" s="5"/>
      <c r="H48" s="5"/>
      <c r="I48" s="5"/>
      <c r="J48" s="5"/>
      <c r="K48" s="5"/>
    </row>
    <row r="49" spans="2:11" ht="36.75" thickBot="1" x14ac:dyDescent="0.3">
      <c r="B49" s="975"/>
      <c r="C49" s="94"/>
      <c r="D49" s="40" t="s">
        <v>525</v>
      </c>
      <c r="E49" s="337" t="s">
        <v>2311</v>
      </c>
      <c r="F49" s="5"/>
      <c r="G49" s="5"/>
      <c r="H49" s="5"/>
      <c r="I49" s="5"/>
      <c r="J49" s="5"/>
      <c r="K49" s="5"/>
    </row>
    <row r="50" spans="2:11" ht="24.75" thickBot="1" x14ac:dyDescent="0.3">
      <c r="B50" s="975"/>
      <c r="C50" s="94"/>
      <c r="D50" s="40" t="s">
        <v>677</v>
      </c>
      <c r="E50" s="337" t="s">
        <v>2303</v>
      </c>
      <c r="F50" s="5"/>
      <c r="G50" s="5"/>
      <c r="H50" s="5"/>
      <c r="I50" s="5"/>
      <c r="J50" s="5"/>
      <c r="K50" s="5"/>
    </row>
    <row r="51" spans="2:11" ht="15.75" thickBot="1" x14ac:dyDescent="0.3">
      <c r="B51" s="975"/>
      <c r="C51" s="94"/>
      <c r="D51" s="40" t="s">
        <v>527</v>
      </c>
      <c r="E51" s="337" t="s">
        <v>2304</v>
      </c>
      <c r="F51" s="5"/>
      <c r="G51" s="5"/>
      <c r="H51" s="5"/>
      <c r="I51" s="5"/>
      <c r="J51" s="5"/>
      <c r="K51" s="5"/>
    </row>
    <row r="52" spans="2:11" ht="45.75" thickBot="1" x14ac:dyDescent="0.3">
      <c r="B52" s="975"/>
      <c r="C52" s="94"/>
      <c r="D52" s="40" t="s">
        <v>529</v>
      </c>
      <c r="E52" s="766" t="s">
        <v>2309</v>
      </c>
      <c r="F52" s="5"/>
      <c r="G52" s="5"/>
      <c r="H52" s="5"/>
      <c r="I52" s="5"/>
      <c r="J52" s="5"/>
      <c r="K52" s="5"/>
    </row>
    <row r="53" spans="2:11" ht="15.75" thickBot="1" x14ac:dyDescent="0.3">
      <c r="B53" s="975"/>
      <c r="C53" s="94"/>
      <c r="D53" s="40" t="s">
        <v>531</v>
      </c>
      <c r="E53" s="337">
        <v>5748960</v>
      </c>
      <c r="F53" s="5"/>
      <c r="G53" s="5"/>
      <c r="H53" s="5"/>
      <c r="I53" s="5"/>
      <c r="J53" s="5"/>
      <c r="K53" s="5"/>
    </row>
    <row r="54" spans="2:11" ht="36.75" thickBot="1" x14ac:dyDescent="0.3">
      <c r="B54" s="976"/>
      <c r="C54" s="2"/>
      <c r="D54" s="40" t="s">
        <v>678</v>
      </c>
      <c r="E54" s="337" t="s">
        <v>2312</v>
      </c>
      <c r="F54" s="5"/>
      <c r="G54" s="5"/>
      <c r="H54" s="5"/>
      <c r="I54" s="5"/>
      <c r="J54" s="5"/>
      <c r="K54" s="5"/>
    </row>
    <row r="55" spans="2:11" ht="15.75" thickBot="1" x14ac:dyDescent="0.3">
      <c r="B55" s="1"/>
      <c r="C55" s="76"/>
      <c r="D55" s="5"/>
      <c r="E55" s="5"/>
      <c r="F55" s="5"/>
      <c r="G55" s="5"/>
      <c r="H55" s="5"/>
      <c r="I55" s="5"/>
      <c r="J55" s="5"/>
      <c r="K55" s="5"/>
    </row>
    <row r="56" spans="2:11" ht="15.75" thickBot="1" x14ac:dyDescent="0.3">
      <c r="B56" s="971" t="s">
        <v>679</v>
      </c>
      <c r="C56" s="972"/>
      <c r="D56" s="972"/>
      <c r="E56" s="973"/>
      <c r="F56" s="5"/>
      <c r="G56" s="5"/>
      <c r="H56" s="5"/>
      <c r="I56" s="5"/>
      <c r="J56" s="5"/>
      <c r="K56" s="5"/>
    </row>
    <row r="57" spans="2:11" ht="15.75" thickBot="1" x14ac:dyDescent="0.3">
      <c r="B57" s="974">
        <v>1</v>
      </c>
      <c r="C57" s="94"/>
      <c r="D57" s="48" t="s">
        <v>676</v>
      </c>
      <c r="E57" s="219" t="s">
        <v>680</v>
      </c>
      <c r="F57" s="5"/>
      <c r="G57" s="5"/>
      <c r="H57" s="5"/>
      <c r="I57" s="5"/>
      <c r="J57" s="5"/>
      <c r="K57" s="5"/>
    </row>
    <row r="58" spans="2:11" ht="15.75" thickBot="1" x14ac:dyDescent="0.3">
      <c r="B58" s="975"/>
      <c r="C58" s="94"/>
      <c r="D58" s="40" t="s">
        <v>525</v>
      </c>
      <c r="E58" s="219" t="s">
        <v>773</v>
      </c>
      <c r="F58" s="5"/>
      <c r="G58" s="5"/>
      <c r="H58" s="5"/>
      <c r="I58" s="5"/>
      <c r="J58" s="5"/>
      <c r="K58" s="5"/>
    </row>
    <row r="59" spans="2:11" ht="15.75" thickBot="1" x14ac:dyDescent="0.3">
      <c r="B59" s="975"/>
      <c r="C59" s="94"/>
      <c r="D59" s="40" t="s">
        <v>677</v>
      </c>
      <c r="E59" s="165"/>
      <c r="F59" s="5"/>
      <c r="G59" s="5"/>
      <c r="H59" s="5"/>
      <c r="I59" s="5"/>
      <c r="J59" s="5"/>
      <c r="K59" s="5"/>
    </row>
    <row r="60" spans="2:11" ht="15.75" thickBot="1" x14ac:dyDescent="0.3">
      <c r="B60" s="975"/>
      <c r="C60" s="94"/>
      <c r="D60" s="40" t="s">
        <v>527</v>
      </c>
      <c r="E60" s="165"/>
      <c r="F60" s="5"/>
      <c r="G60" s="5"/>
      <c r="H60" s="5"/>
      <c r="I60" s="5"/>
      <c r="J60" s="5"/>
      <c r="K60" s="5"/>
    </row>
    <row r="61" spans="2:11" ht="15.75" thickBot="1" x14ac:dyDescent="0.3">
      <c r="B61" s="975"/>
      <c r="C61" s="94"/>
      <c r="D61" s="40" t="s">
        <v>529</v>
      </c>
      <c r="E61" s="165"/>
      <c r="F61" s="5"/>
      <c r="G61" s="5"/>
      <c r="H61" s="5"/>
      <c r="I61" s="5"/>
      <c r="J61" s="5"/>
      <c r="K61" s="5"/>
    </row>
    <row r="62" spans="2:11" ht="15.75" thickBot="1" x14ac:dyDescent="0.3">
      <c r="B62" s="975"/>
      <c r="C62" s="94"/>
      <c r="D62" s="40" t="s">
        <v>531</v>
      </c>
      <c r="E62" s="165"/>
      <c r="F62" s="5"/>
      <c r="G62" s="5"/>
      <c r="H62" s="5"/>
      <c r="I62" s="5"/>
      <c r="J62" s="5"/>
      <c r="K62" s="5"/>
    </row>
    <row r="63" spans="2:11" ht="15.75" thickBot="1" x14ac:dyDescent="0.3">
      <c r="B63" s="976"/>
      <c r="C63" s="2"/>
      <c r="D63" s="40" t="s">
        <v>678</v>
      </c>
      <c r="E63" s="165"/>
      <c r="F63" s="5"/>
      <c r="G63" s="5"/>
      <c r="H63" s="5"/>
      <c r="I63" s="5"/>
      <c r="J63" s="5"/>
      <c r="K63" s="5"/>
    </row>
    <row r="64" spans="2:11" ht="15.75" thickBot="1" x14ac:dyDescent="0.3">
      <c r="B64" s="1"/>
      <c r="C64" s="76"/>
      <c r="D64" s="5"/>
      <c r="E64" s="5"/>
      <c r="F64" s="5"/>
      <c r="G64" s="5"/>
      <c r="H64" s="5"/>
      <c r="I64" s="5"/>
      <c r="J64" s="5"/>
      <c r="K64" s="5"/>
    </row>
    <row r="65" spans="2:11" ht="15" customHeight="1" thickBot="1" x14ac:dyDescent="0.3">
      <c r="B65" s="122" t="s">
        <v>682</v>
      </c>
      <c r="C65" s="123"/>
      <c r="D65" s="123"/>
      <c r="E65" s="124"/>
      <c r="G65" s="5"/>
      <c r="H65" s="5"/>
      <c r="I65" s="5"/>
      <c r="J65" s="5"/>
      <c r="K65" s="5"/>
    </row>
    <row r="66" spans="2:11" ht="24.75" thickBot="1" x14ac:dyDescent="0.3">
      <c r="B66" s="47" t="s">
        <v>683</v>
      </c>
      <c r="C66" s="40" t="s">
        <v>684</v>
      </c>
      <c r="D66" s="40" t="s">
        <v>685</v>
      </c>
      <c r="E66" s="40" t="s">
        <v>686</v>
      </c>
      <c r="F66" s="5"/>
      <c r="G66" s="5"/>
      <c r="H66" s="5"/>
      <c r="I66" s="5"/>
      <c r="J66" s="5"/>
    </row>
    <row r="67" spans="2:11" ht="72.75" thickBot="1" x14ac:dyDescent="0.3">
      <c r="B67" s="49">
        <v>42401</v>
      </c>
      <c r="C67" s="40">
        <v>0.01</v>
      </c>
      <c r="D67" s="50" t="s">
        <v>1459</v>
      </c>
      <c r="E67" s="40"/>
      <c r="F67" s="5"/>
      <c r="G67" s="5"/>
      <c r="H67" s="5"/>
      <c r="I67" s="5"/>
      <c r="J67" s="5"/>
    </row>
    <row r="68" spans="2:11" ht="15.75" thickBot="1" x14ac:dyDescent="0.3">
      <c r="B68" s="3"/>
      <c r="C68" s="95"/>
      <c r="D68" s="5"/>
      <c r="E68" s="5"/>
      <c r="F68" s="5"/>
      <c r="G68" s="5"/>
      <c r="H68" s="5"/>
      <c r="I68" s="5"/>
      <c r="J68" s="5"/>
      <c r="K68" s="5"/>
    </row>
    <row r="69" spans="2:11" ht="15.75" thickBot="1" x14ac:dyDescent="0.3">
      <c r="B69" s="345" t="s">
        <v>593</v>
      </c>
      <c r="C69" s="96"/>
      <c r="D69" s="5"/>
      <c r="E69" s="5"/>
      <c r="F69" s="5"/>
      <c r="G69" s="5"/>
      <c r="H69" s="5"/>
      <c r="I69" s="5"/>
      <c r="J69" s="5"/>
      <c r="K69" s="5"/>
    </row>
    <row r="70" spans="2:11" x14ac:dyDescent="0.25">
      <c r="B70" s="1150"/>
      <c r="C70" s="1151"/>
      <c r="D70" s="1151"/>
      <c r="E70" s="1152"/>
      <c r="F70" s="5"/>
      <c r="G70" s="5"/>
      <c r="H70" s="5"/>
      <c r="I70" s="5"/>
      <c r="J70" s="5"/>
      <c r="K70" s="5"/>
    </row>
    <row r="71" spans="2:11" ht="15.75" thickBot="1" x14ac:dyDescent="0.3">
      <c r="B71" s="1153"/>
      <c r="C71" s="1154"/>
      <c r="D71" s="1154"/>
      <c r="E71" s="1155"/>
      <c r="F71" s="5"/>
      <c r="G71" s="5"/>
      <c r="H71" s="5"/>
      <c r="I71" s="5"/>
      <c r="J71" s="5"/>
      <c r="K71" s="5"/>
    </row>
    <row r="72" spans="2:11" x14ac:dyDescent="0.25">
      <c r="B72" s="1"/>
      <c r="C72" s="76"/>
      <c r="D72" s="5"/>
      <c r="E72" s="5"/>
      <c r="F72" s="5"/>
      <c r="G72" s="5"/>
      <c r="H72" s="5"/>
      <c r="I72" s="5"/>
      <c r="J72" s="5"/>
      <c r="K72" s="5"/>
    </row>
    <row r="73" spans="2:11" ht="15.75" thickBot="1" x14ac:dyDescent="0.3">
      <c r="B73" s="5"/>
      <c r="D73" s="5"/>
      <c r="E73" s="5"/>
      <c r="F73" s="5"/>
      <c r="G73" s="5"/>
      <c r="H73" s="5"/>
      <c r="I73" s="5"/>
      <c r="J73" s="5"/>
      <c r="K73" s="5"/>
    </row>
    <row r="74" spans="2:11" ht="24.75" thickBot="1" x14ac:dyDescent="0.3">
      <c r="B74" s="51" t="s">
        <v>688</v>
      </c>
      <c r="C74" s="97"/>
      <c r="D74" s="5"/>
      <c r="E74" s="5"/>
      <c r="F74" s="5"/>
      <c r="G74" s="5"/>
      <c r="H74" s="5"/>
      <c r="I74" s="5"/>
      <c r="J74" s="5"/>
      <c r="K74" s="5"/>
    </row>
    <row r="75" spans="2:11" ht="15.75" thickBot="1" x14ac:dyDescent="0.3">
      <c r="B75" s="37"/>
      <c r="C75" s="88"/>
      <c r="D75" s="5"/>
      <c r="E75" s="5"/>
      <c r="F75" s="5"/>
      <c r="G75" s="5"/>
      <c r="H75" s="5"/>
      <c r="I75" s="5"/>
      <c r="J75" s="5"/>
      <c r="K75" s="5"/>
    </row>
    <row r="76" spans="2:11" ht="48.75" thickBot="1" x14ac:dyDescent="0.3">
      <c r="B76" s="52" t="s">
        <v>689</v>
      </c>
      <c r="C76" s="98"/>
      <c r="D76" s="43" t="s">
        <v>1460</v>
      </c>
      <c r="E76" s="5"/>
      <c r="F76" s="5"/>
      <c r="G76" s="5"/>
      <c r="H76" s="5"/>
      <c r="I76" s="5"/>
      <c r="J76" s="5"/>
      <c r="K76" s="5"/>
    </row>
    <row r="77" spans="2:11" x14ac:dyDescent="0.25">
      <c r="B77" s="974" t="s">
        <v>691</v>
      </c>
      <c r="C77" s="94"/>
      <c r="D77" s="53" t="s">
        <v>692</v>
      </c>
      <c r="E77" s="5"/>
      <c r="F77" s="5"/>
      <c r="G77" s="5"/>
      <c r="H77" s="5"/>
      <c r="I77" s="5"/>
      <c r="J77" s="5"/>
      <c r="K77" s="5"/>
    </row>
    <row r="78" spans="2:11" ht="108" x14ac:dyDescent="0.25">
      <c r="B78" s="975"/>
      <c r="C78" s="94"/>
      <c r="D78" s="46" t="s">
        <v>1461</v>
      </c>
      <c r="E78" s="5"/>
      <c r="F78" s="5"/>
      <c r="G78" s="5"/>
      <c r="H78" s="5"/>
      <c r="I78" s="5"/>
      <c r="J78" s="5"/>
      <c r="K78" s="5"/>
    </row>
    <row r="79" spans="2:11" x14ac:dyDescent="0.25">
      <c r="B79" s="975"/>
      <c r="C79" s="94"/>
      <c r="D79" s="46" t="s">
        <v>1462</v>
      </c>
      <c r="E79" s="5"/>
      <c r="F79" s="5"/>
      <c r="G79" s="5"/>
      <c r="H79" s="5"/>
      <c r="I79" s="5"/>
      <c r="J79" s="5"/>
      <c r="K79" s="5"/>
    </row>
    <row r="80" spans="2:11" ht="24" x14ac:dyDescent="0.25">
      <c r="B80" s="975"/>
      <c r="C80" s="94"/>
      <c r="D80" s="46" t="s">
        <v>1463</v>
      </c>
      <c r="E80" s="5"/>
      <c r="F80" s="5"/>
      <c r="G80" s="5"/>
      <c r="H80" s="5"/>
      <c r="I80" s="5"/>
      <c r="J80" s="5"/>
      <c r="K80" s="5"/>
    </row>
    <row r="81" spans="2:11" ht="24" x14ac:dyDescent="0.25">
      <c r="B81" s="975"/>
      <c r="C81" s="94"/>
      <c r="D81" s="46" t="s">
        <v>1464</v>
      </c>
      <c r="E81" s="5"/>
      <c r="F81" s="5"/>
      <c r="G81" s="5"/>
      <c r="H81" s="5"/>
      <c r="I81" s="5"/>
      <c r="J81" s="5"/>
      <c r="K81" s="5"/>
    </row>
    <row r="82" spans="2:11" x14ac:dyDescent="0.25">
      <c r="B82" s="975"/>
      <c r="C82" s="94"/>
      <c r="D82" s="53" t="s">
        <v>923</v>
      </c>
      <c r="E82" s="5"/>
      <c r="F82" s="5"/>
      <c r="G82" s="5"/>
      <c r="H82" s="5"/>
      <c r="I82" s="5"/>
      <c r="J82" s="5"/>
      <c r="K82" s="5"/>
    </row>
    <row r="83" spans="2:11" ht="24" x14ac:dyDescent="0.25">
      <c r="B83" s="975"/>
      <c r="C83" s="94"/>
      <c r="D83" s="46" t="s">
        <v>1465</v>
      </c>
      <c r="E83" s="5"/>
      <c r="F83" s="5"/>
      <c r="G83" s="5"/>
      <c r="H83" s="5"/>
      <c r="I83" s="5"/>
      <c r="J83" s="5"/>
      <c r="K83" s="5"/>
    </row>
    <row r="84" spans="2:11" x14ac:dyDescent="0.25">
      <c r="B84" s="975"/>
      <c r="C84" s="94"/>
      <c r="D84" s="46" t="s">
        <v>1466</v>
      </c>
      <c r="E84" s="5"/>
      <c r="F84" s="5"/>
      <c r="G84" s="5"/>
      <c r="H84" s="5"/>
      <c r="I84" s="5"/>
      <c r="J84" s="5"/>
      <c r="K84" s="5"/>
    </row>
    <row r="85" spans="2:11" ht="36" x14ac:dyDescent="0.25">
      <c r="B85" s="975"/>
      <c r="C85" s="94"/>
      <c r="D85" s="46" t="s">
        <v>1467</v>
      </c>
      <c r="E85" s="5"/>
      <c r="F85" s="5"/>
      <c r="G85" s="5"/>
      <c r="H85" s="5"/>
      <c r="I85" s="5"/>
      <c r="J85" s="5"/>
      <c r="K85" s="5"/>
    </row>
    <row r="86" spans="2:11" ht="36" x14ac:dyDescent="0.25">
      <c r="B86" s="975"/>
      <c r="C86" s="94"/>
      <c r="D86" s="46" t="s">
        <v>1468</v>
      </c>
      <c r="E86" s="5"/>
      <c r="F86" s="5"/>
      <c r="G86" s="5"/>
      <c r="H86" s="5"/>
      <c r="I86" s="5"/>
      <c r="J86" s="5"/>
      <c r="K86" s="5"/>
    </row>
    <row r="87" spans="2:11" ht="24" x14ac:dyDescent="0.25">
      <c r="B87" s="975"/>
      <c r="C87" s="94"/>
      <c r="D87" s="46" t="s">
        <v>1469</v>
      </c>
      <c r="E87" s="5"/>
      <c r="F87" s="5"/>
      <c r="G87" s="5"/>
      <c r="H87" s="5"/>
      <c r="I87" s="5"/>
      <c r="J87" s="5"/>
      <c r="K87" s="5"/>
    </row>
    <row r="88" spans="2:11" ht="48" x14ac:dyDescent="0.25">
      <c r="B88" s="975"/>
      <c r="C88" s="94"/>
      <c r="D88" s="46" t="s">
        <v>1470</v>
      </c>
      <c r="E88" s="5"/>
      <c r="F88" s="5"/>
      <c r="G88" s="5"/>
      <c r="H88" s="5"/>
      <c r="I88" s="5"/>
      <c r="J88" s="5"/>
      <c r="K88" s="5"/>
    </row>
    <row r="89" spans="2:11" ht="36" x14ac:dyDescent="0.25">
      <c r="B89" s="975"/>
      <c r="C89" s="94"/>
      <c r="D89" s="46" t="s">
        <v>1471</v>
      </c>
      <c r="E89" s="5"/>
      <c r="F89" s="5"/>
      <c r="G89" s="5"/>
      <c r="H89" s="5"/>
      <c r="I89" s="5"/>
      <c r="J89" s="5"/>
      <c r="K89" s="5"/>
    </row>
    <row r="90" spans="2:11" ht="24" x14ac:dyDescent="0.25">
      <c r="B90" s="975"/>
      <c r="C90" s="94"/>
      <c r="D90" s="46" t="s">
        <v>1472</v>
      </c>
      <c r="E90" s="5"/>
      <c r="F90" s="5"/>
      <c r="G90" s="5"/>
      <c r="H90" s="5"/>
      <c r="I90" s="5"/>
      <c r="J90" s="5"/>
      <c r="K90" s="5"/>
    </row>
    <row r="91" spans="2:11" ht="24" x14ac:dyDescent="0.25">
      <c r="B91" s="975"/>
      <c r="C91" s="94"/>
      <c r="D91" s="46" t="s">
        <v>1473</v>
      </c>
      <c r="E91" s="5"/>
      <c r="F91" s="5"/>
      <c r="G91" s="5"/>
      <c r="H91" s="5"/>
      <c r="I91" s="5"/>
      <c r="J91" s="5"/>
      <c r="K91" s="5"/>
    </row>
    <row r="92" spans="2:11" ht="60.75" thickBot="1" x14ac:dyDescent="0.3">
      <c r="B92" s="976"/>
      <c r="C92" s="2"/>
      <c r="D92" s="56" t="s">
        <v>1474</v>
      </c>
      <c r="E92" s="5"/>
      <c r="F92" s="5"/>
      <c r="G92" s="5"/>
      <c r="H92" s="5"/>
      <c r="I92" s="5"/>
      <c r="J92" s="5"/>
      <c r="K92" s="5"/>
    </row>
    <row r="93" spans="2:11" x14ac:dyDescent="0.25">
      <c r="B93" s="974" t="s">
        <v>704</v>
      </c>
      <c r="C93" s="99"/>
      <c r="D93" s="974"/>
      <c r="E93" s="5"/>
      <c r="F93" s="5"/>
      <c r="G93" s="5"/>
      <c r="H93" s="5"/>
      <c r="I93" s="5"/>
      <c r="J93" s="5"/>
      <c r="K93" s="5"/>
    </row>
    <row r="94" spans="2:11" ht="15.75" thickBot="1" x14ac:dyDescent="0.3">
      <c r="B94" s="976"/>
      <c r="C94" s="100"/>
      <c r="D94" s="976"/>
      <c r="E94" s="5"/>
      <c r="F94" s="5"/>
      <c r="G94" s="5"/>
      <c r="H94" s="5"/>
      <c r="I94" s="5"/>
      <c r="J94" s="5"/>
      <c r="K94" s="5"/>
    </row>
    <row r="95" spans="2:11" ht="144" x14ac:dyDescent="0.25">
      <c r="B95" s="974" t="s">
        <v>705</v>
      </c>
      <c r="C95" s="94"/>
      <c r="D95" s="46" t="s">
        <v>1475</v>
      </c>
      <c r="E95" s="5"/>
      <c r="F95" s="5"/>
      <c r="G95" s="5"/>
      <c r="H95" s="5"/>
      <c r="I95" s="5"/>
      <c r="J95" s="5"/>
      <c r="K95" s="5"/>
    </row>
    <row r="96" spans="2:11" ht="192" x14ac:dyDescent="0.25">
      <c r="B96" s="975"/>
      <c r="C96" s="94"/>
      <c r="D96" s="46" t="s">
        <v>1476</v>
      </c>
      <c r="E96" s="5"/>
      <c r="F96" s="5"/>
      <c r="G96" s="5"/>
      <c r="H96" s="5"/>
      <c r="I96" s="5"/>
      <c r="J96" s="5"/>
      <c r="K96" s="5"/>
    </row>
    <row r="97" spans="2:11" ht="36" x14ac:dyDescent="0.25">
      <c r="B97" s="975"/>
      <c r="C97" s="94"/>
      <c r="D97" s="46" t="s">
        <v>1477</v>
      </c>
      <c r="E97" s="5"/>
      <c r="F97" s="5"/>
      <c r="G97" s="5"/>
      <c r="H97" s="5"/>
      <c r="I97" s="5"/>
      <c r="J97" s="5"/>
      <c r="K97" s="5"/>
    </row>
    <row r="98" spans="2:11" ht="36" x14ac:dyDescent="0.25">
      <c r="B98" s="975"/>
      <c r="C98" s="94"/>
      <c r="D98" s="46" t="s">
        <v>1478</v>
      </c>
      <c r="E98" s="5"/>
      <c r="F98" s="5"/>
      <c r="G98" s="5"/>
      <c r="H98" s="5"/>
      <c r="I98" s="5"/>
      <c r="J98" s="5"/>
      <c r="K98" s="5"/>
    </row>
    <row r="99" spans="2:11" ht="36" x14ac:dyDescent="0.25">
      <c r="B99" s="975"/>
      <c r="C99" s="94"/>
      <c r="D99" s="46" t="s">
        <v>1479</v>
      </c>
      <c r="E99" s="5"/>
      <c r="F99" s="5"/>
      <c r="G99" s="5"/>
      <c r="H99" s="5"/>
      <c r="I99" s="5"/>
      <c r="J99" s="5"/>
      <c r="K99" s="5"/>
    </row>
    <row r="100" spans="2:11" ht="48" x14ac:dyDescent="0.25">
      <c r="B100" s="975"/>
      <c r="C100" s="94"/>
      <c r="D100" s="46" t="s">
        <v>1480</v>
      </c>
      <c r="E100" s="5"/>
      <c r="F100" s="5"/>
      <c r="G100" s="5"/>
      <c r="H100" s="5"/>
      <c r="I100" s="5"/>
      <c r="J100" s="5"/>
      <c r="K100" s="5"/>
    </row>
    <row r="101" spans="2:11" ht="48" x14ac:dyDescent="0.25">
      <c r="B101" s="975"/>
      <c r="C101" s="94"/>
      <c r="D101" s="46" t="s">
        <v>1481</v>
      </c>
      <c r="E101" s="5"/>
      <c r="F101" s="5"/>
      <c r="G101" s="5"/>
      <c r="H101" s="5"/>
      <c r="I101" s="5"/>
      <c r="J101" s="5"/>
      <c r="K101" s="5"/>
    </row>
    <row r="102" spans="2:11" ht="36" x14ac:dyDescent="0.25">
      <c r="B102" s="975"/>
      <c r="C102" s="94"/>
      <c r="D102" s="25" t="s">
        <v>1482</v>
      </c>
      <c r="E102" s="5"/>
      <c r="F102" s="5"/>
      <c r="G102" s="5"/>
      <c r="H102" s="5"/>
      <c r="I102" s="5"/>
      <c r="J102" s="5"/>
      <c r="K102" s="5"/>
    </row>
    <row r="103" spans="2:11" ht="36" x14ac:dyDescent="0.25">
      <c r="B103" s="975"/>
      <c r="C103" s="94"/>
      <c r="D103" s="25" t="s">
        <v>1483</v>
      </c>
      <c r="E103" s="5"/>
      <c r="F103" s="5"/>
      <c r="G103" s="5"/>
      <c r="H103" s="5"/>
      <c r="I103" s="5"/>
      <c r="J103" s="5"/>
      <c r="K103" s="5"/>
    </row>
    <row r="104" spans="2:11" ht="24" x14ac:dyDescent="0.25">
      <c r="B104" s="975"/>
      <c r="C104" s="94"/>
      <c r="D104" s="25" t="s">
        <v>1484</v>
      </c>
      <c r="E104" s="5"/>
      <c r="F104" s="5"/>
      <c r="G104" s="5"/>
      <c r="H104" s="5"/>
      <c r="I104" s="5"/>
      <c r="J104" s="5"/>
      <c r="K104" s="5"/>
    </row>
    <row r="105" spans="2:11" ht="24" x14ac:dyDescent="0.25">
      <c r="B105" s="975"/>
      <c r="C105" s="94"/>
      <c r="D105" s="25" t="s">
        <v>1485</v>
      </c>
      <c r="E105" s="5"/>
      <c r="F105" s="5"/>
      <c r="G105" s="5"/>
      <c r="H105" s="5"/>
      <c r="I105" s="5"/>
      <c r="J105" s="5"/>
      <c r="K105" s="5"/>
    </row>
    <row r="106" spans="2:11" ht="60" x14ac:dyDescent="0.25">
      <c r="B106" s="975"/>
      <c r="C106" s="94"/>
      <c r="D106" s="25" t="s">
        <v>1486</v>
      </c>
      <c r="E106" s="5"/>
      <c r="F106" s="5"/>
      <c r="G106" s="5"/>
      <c r="H106" s="5"/>
      <c r="I106" s="5"/>
      <c r="J106" s="5"/>
      <c r="K106" s="5"/>
    </row>
    <row r="107" spans="2:11" ht="36" x14ac:dyDescent="0.25">
      <c r="B107" s="975"/>
      <c r="C107" s="94"/>
      <c r="D107" s="25" t="s">
        <v>1487</v>
      </c>
      <c r="E107" s="5"/>
      <c r="F107" s="5"/>
      <c r="G107" s="5"/>
      <c r="H107" s="5"/>
      <c r="I107" s="5"/>
      <c r="J107" s="5"/>
      <c r="K107" s="5"/>
    </row>
    <row r="108" spans="2:11" ht="36" x14ac:dyDescent="0.25">
      <c r="B108" s="975"/>
      <c r="C108" s="94"/>
      <c r="D108" s="25" t="s">
        <v>1488</v>
      </c>
      <c r="E108" s="5"/>
      <c r="F108" s="5"/>
      <c r="G108" s="5"/>
      <c r="H108" s="5"/>
      <c r="I108" s="5"/>
      <c r="J108" s="5"/>
      <c r="K108" s="5"/>
    </row>
    <row r="109" spans="2:11" ht="60" x14ac:dyDescent="0.25">
      <c r="B109" s="975"/>
      <c r="C109" s="94"/>
      <c r="D109" s="25" t="s">
        <v>1489</v>
      </c>
      <c r="E109" s="5"/>
      <c r="F109" s="5"/>
      <c r="G109" s="5"/>
      <c r="H109" s="5"/>
      <c r="I109" s="5"/>
      <c r="J109" s="5"/>
      <c r="K109" s="5"/>
    </row>
    <row r="110" spans="2:11" ht="24" x14ac:dyDescent="0.25">
      <c r="B110" s="975"/>
      <c r="C110" s="94"/>
      <c r="D110" s="25" t="s">
        <v>1490</v>
      </c>
      <c r="E110" s="5"/>
      <c r="F110" s="5"/>
      <c r="G110" s="5"/>
      <c r="H110" s="5"/>
      <c r="I110" s="5"/>
      <c r="J110" s="5"/>
      <c r="K110" s="5"/>
    </row>
    <row r="111" spans="2:11" ht="24" x14ac:dyDescent="0.25">
      <c r="B111" s="975"/>
      <c r="C111" s="94"/>
      <c r="D111" s="25" t="s">
        <v>1491</v>
      </c>
      <c r="E111" s="5"/>
      <c r="F111" s="5"/>
      <c r="G111" s="5"/>
      <c r="H111" s="5"/>
      <c r="I111" s="5"/>
      <c r="J111" s="5"/>
      <c r="K111" s="5"/>
    </row>
    <row r="112" spans="2:11" x14ac:dyDescent="0.25">
      <c r="B112" s="975"/>
      <c r="C112" s="94"/>
      <c r="D112" s="25" t="s">
        <v>1492</v>
      </c>
      <c r="E112" s="5"/>
      <c r="F112" s="5"/>
      <c r="G112" s="5"/>
      <c r="H112" s="5"/>
      <c r="I112" s="5"/>
      <c r="J112" s="5"/>
      <c r="K112" s="5"/>
    </row>
    <row r="113" spans="2:11" ht="36" x14ac:dyDescent="0.25">
      <c r="B113" s="975"/>
      <c r="C113" s="94"/>
      <c r="D113" s="25" t="s">
        <v>1493</v>
      </c>
      <c r="E113" s="5"/>
      <c r="F113" s="5"/>
      <c r="G113" s="5"/>
      <c r="H113" s="5"/>
      <c r="I113" s="5"/>
      <c r="J113" s="5"/>
      <c r="K113" s="5"/>
    </row>
    <row r="114" spans="2:11" ht="36" x14ac:dyDescent="0.25">
      <c r="B114" s="975"/>
      <c r="C114" s="94"/>
      <c r="D114" s="25" t="s">
        <v>1494</v>
      </c>
      <c r="E114" s="5"/>
      <c r="F114" s="5"/>
      <c r="G114" s="5"/>
      <c r="H114" s="5"/>
      <c r="I114" s="5"/>
      <c r="J114" s="5"/>
      <c r="K114" s="5"/>
    </row>
    <row r="115" spans="2:11" ht="36" x14ac:dyDescent="0.25">
      <c r="B115" s="975"/>
      <c r="C115" s="94"/>
      <c r="D115" s="25" t="s">
        <v>1495</v>
      </c>
      <c r="E115" s="5"/>
      <c r="F115" s="5"/>
      <c r="G115" s="5"/>
      <c r="H115" s="5"/>
      <c r="I115" s="5"/>
      <c r="J115" s="5"/>
      <c r="K115" s="5"/>
    </row>
    <row r="116" spans="2:11" ht="252" x14ac:dyDescent="0.25">
      <c r="B116" s="975"/>
      <c r="C116" s="94"/>
      <c r="D116" s="46" t="s">
        <v>1496</v>
      </c>
      <c r="E116" s="5"/>
      <c r="F116" s="5"/>
      <c r="G116" s="5"/>
      <c r="H116" s="5"/>
      <c r="I116" s="5"/>
      <c r="J116" s="5"/>
      <c r="K116" s="5"/>
    </row>
    <row r="117" spans="2:11" ht="60.75" thickBot="1" x14ac:dyDescent="0.3">
      <c r="B117" s="976"/>
      <c r="C117" s="2"/>
      <c r="D117" s="40" t="s">
        <v>1497</v>
      </c>
      <c r="E117" s="5"/>
      <c r="F117" s="5"/>
      <c r="G117" s="5"/>
      <c r="H117" s="5"/>
      <c r="I117" s="5"/>
      <c r="J117" s="5"/>
      <c r="K117" s="5"/>
    </row>
    <row r="118" spans="2:11" ht="24" x14ac:dyDescent="0.25">
      <c r="B118" s="974" t="s">
        <v>722</v>
      </c>
      <c r="C118" s="94"/>
      <c r="D118" s="53" t="s">
        <v>29</v>
      </c>
      <c r="E118" s="5"/>
      <c r="F118" s="5"/>
      <c r="G118" s="5"/>
      <c r="H118" s="5"/>
      <c r="I118" s="5"/>
      <c r="J118" s="5"/>
      <c r="K118" s="5"/>
    </row>
    <row r="119" spans="2:11" ht="20.45" customHeight="1" x14ac:dyDescent="0.25">
      <c r="B119" s="975"/>
      <c r="C119" s="94"/>
      <c r="D119" s="16"/>
      <c r="E119" s="5"/>
      <c r="F119" s="5"/>
      <c r="G119" s="5"/>
      <c r="H119" s="5"/>
      <c r="I119" s="5"/>
      <c r="J119" s="5"/>
      <c r="K119" s="5"/>
    </row>
    <row r="120" spans="2:11" x14ac:dyDescent="0.25">
      <c r="B120" s="975"/>
      <c r="C120" s="94"/>
      <c r="D120" s="46" t="s">
        <v>723</v>
      </c>
      <c r="E120" s="5"/>
      <c r="F120" s="5"/>
      <c r="G120" s="5"/>
      <c r="H120" s="5"/>
      <c r="I120" s="5"/>
      <c r="J120" s="5"/>
      <c r="K120" s="5"/>
    </row>
    <row r="121" spans="2:11" ht="37.5" x14ac:dyDescent="0.25">
      <c r="B121" s="975"/>
      <c r="C121" s="94"/>
      <c r="D121" s="46" t="s">
        <v>1498</v>
      </c>
      <c r="E121" s="5"/>
      <c r="F121" s="5"/>
      <c r="G121" s="5"/>
      <c r="H121" s="5"/>
      <c r="I121" s="5"/>
      <c r="J121" s="5"/>
      <c r="K121" s="5"/>
    </row>
    <row r="122" spans="2:11" ht="37.5" x14ac:dyDescent="0.25">
      <c r="B122" s="975"/>
      <c r="C122" s="94"/>
      <c r="D122" s="46" t="s">
        <v>1499</v>
      </c>
      <c r="E122" s="5"/>
      <c r="F122" s="5"/>
      <c r="G122" s="5"/>
      <c r="H122" s="5"/>
      <c r="I122" s="5"/>
      <c r="J122" s="5"/>
      <c r="K122" s="5"/>
    </row>
    <row r="123" spans="2:11" ht="37.5" x14ac:dyDescent="0.25">
      <c r="B123" s="975"/>
      <c r="C123" s="94"/>
      <c r="D123" s="46" t="s">
        <v>1500</v>
      </c>
      <c r="E123" s="5"/>
      <c r="F123" s="5"/>
      <c r="G123" s="5"/>
      <c r="H123" s="5"/>
      <c r="I123" s="5"/>
      <c r="J123" s="5"/>
      <c r="K123" s="5"/>
    </row>
    <row r="124" spans="2:11" ht="37.5" x14ac:dyDescent="0.25">
      <c r="B124" s="975"/>
      <c r="C124" s="94"/>
      <c r="D124" s="46" t="s">
        <v>1501</v>
      </c>
      <c r="E124" s="5"/>
      <c r="F124" s="5"/>
      <c r="G124" s="5"/>
      <c r="H124" s="5"/>
      <c r="I124" s="5"/>
      <c r="J124" s="5"/>
      <c r="K124" s="5"/>
    </row>
    <row r="125" spans="2:11" x14ac:dyDescent="0.25">
      <c r="B125" s="975"/>
      <c r="C125" s="94"/>
      <c r="D125" s="46" t="s">
        <v>1502</v>
      </c>
      <c r="E125" s="5"/>
      <c r="F125" s="5"/>
      <c r="G125" s="5"/>
      <c r="H125" s="5"/>
      <c r="I125" s="5"/>
      <c r="J125" s="5"/>
      <c r="K125" s="5"/>
    </row>
    <row r="126" spans="2:11" x14ac:dyDescent="0.25">
      <c r="B126" s="975"/>
      <c r="C126" s="94"/>
      <c r="D126" s="46" t="s">
        <v>1503</v>
      </c>
      <c r="E126" s="5"/>
      <c r="F126" s="5"/>
      <c r="G126" s="5"/>
      <c r="H126" s="5"/>
      <c r="I126" s="5"/>
      <c r="J126" s="5"/>
      <c r="K126" s="5"/>
    </row>
    <row r="127" spans="2:11" x14ac:dyDescent="0.25">
      <c r="B127" s="975"/>
      <c r="C127" s="94"/>
      <c r="D127" s="46" t="s">
        <v>1504</v>
      </c>
      <c r="E127" s="5"/>
      <c r="F127" s="5"/>
      <c r="G127" s="5"/>
      <c r="H127" s="5"/>
      <c r="I127" s="5"/>
      <c r="J127" s="5"/>
      <c r="K127" s="5"/>
    </row>
    <row r="128" spans="2:11" x14ac:dyDescent="0.25">
      <c r="B128" s="975"/>
      <c r="C128" s="94"/>
      <c r="D128" s="46" t="s">
        <v>1505</v>
      </c>
      <c r="E128" s="5"/>
      <c r="F128" s="5"/>
      <c r="G128" s="5"/>
      <c r="H128" s="5"/>
      <c r="I128" s="5"/>
      <c r="J128" s="5"/>
      <c r="K128" s="5"/>
    </row>
    <row r="129" spans="2:11" ht="84" x14ac:dyDescent="0.25">
      <c r="B129" s="975"/>
      <c r="C129" s="94"/>
      <c r="D129" s="54" t="s">
        <v>892</v>
      </c>
      <c r="E129" s="5"/>
      <c r="F129" s="5"/>
      <c r="G129" s="5"/>
      <c r="H129" s="5"/>
      <c r="I129" s="5"/>
      <c r="J129" s="5"/>
      <c r="K129" s="5"/>
    </row>
    <row r="130" spans="2:11" x14ac:dyDescent="0.25">
      <c r="B130" s="975"/>
      <c r="C130" s="94"/>
      <c r="D130" s="46" t="s">
        <v>866</v>
      </c>
      <c r="E130" s="5"/>
      <c r="F130" s="5"/>
      <c r="G130" s="5"/>
      <c r="H130" s="5"/>
      <c r="I130" s="5"/>
      <c r="J130" s="5"/>
      <c r="K130" s="5"/>
    </row>
    <row r="131" spans="2:11" ht="48" x14ac:dyDescent="0.25">
      <c r="B131" s="975"/>
      <c r="C131" s="94"/>
      <c r="D131" s="53" t="s">
        <v>1506</v>
      </c>
      <c r="E131" s="5"/>
      <c r="F131" s="5"/>
      <c r="G131" s="5"/>
      <c r="H131" s="5"/>
      <c r="I131" s="5"/>
      <c r="J131" s="5"/>
      <c r="K131" s="5"/>
    </row>
    <row r="132" spans="2:11" x14ac:dyDescent="0.25">
      <c r="B132" s="975"/>
      <c r="C132" s="94"/>
      <c r="D132" s="16"/>
      <c r="E132" s="5"/>
      <c r="F132" s="5"/>
      <c r="G132" s="5"/>
      <c r="H132" s="5"/>
      <c r="I132" s="5"/>
      <c r="J132" s="5"/>
      <c r="K132" s="5"/>
    </row>
    <row r="133" spans="2:11" x14ac:dyDescent="0.25">
      <c r="B133" s="975"/>
      <c r="C133" s="94"/>
      <c r="D133" s="46" t="s">
        <v>723</v>
      </c>
      <c r="E133" s="5"/>
      <c r="F133" s="5"/>
      <c r="G133" s="5"/>
      <c r="H133" s="5"/>
      <c r="I133" s="5"/>
      <c r="J133" s="5"/>
      <c r="K133" s="5"/>
    </row>
    <row r="134" spans="2:11" ht="49.5" x14ac:dyDescent="0.25">
      <c r="B134" s="975"/>
      <c r="C134" s="94"/>
      <c r="D134" s="46" t="s">
        <v>1507</v>
      </c>
      <c r="E134" s="5"/>
      <c r="F134" s="5"/>
      <c r="G134" s="5"/>
      <c r="H134" s="5"/>
      <c r="I134" s="5"/>
      <c r="J134" s="5"/>
      <c r="K134" s="5"/>
    </row>
    <row r="135" spans="2:11" ht="49.5" x14ac:dyDescent="0.25">
      <c r="B135" s="975"/>
      <c r="C135" s="94"/>
      <c r="D135" s="46" t="s">
        <v>1508</v>
      </c>
      <c r="E135" s="5"/>
      <c r="F135" s="5"/>
      <c r="G135" s="5"/>
      <c r="H135" s="5"/>
      <c r="I135" s="5"/>
      <c r="J135" s="5"/>
      <c r="K135" s="5"/>
    </row>
    <row r="136" spans="2:11" ht="38.25" thickBot="1" x14ac:dyDescent="0.3">
      <c r="B136" s="976"/>
      <c r="C136" s="2"/>
      <c r="D136" s="40" t="s">
        <v>1509</v>
      </c>
      <c r="E136" s="5"/>
      <c r="F136" s="5"/>
      <c r="G136" s="5"/>
      <c r="H136" s="5"/>
      <c r="I136" s="5"/>
      <c r="J136" s="5"/>
      <c r="K136" s="5"/>
    </row>
    <row r="137" spans="2:11" x14ac:dyDescent="0.25">
      <c r="B137" s="5"/>
      <c r="D137" s="5"/>
      <c r="E137" s="5"/>
      <c r="F137" s="5"/>
      <c r="G137" s="5"/>
      <c r="H137" s="5"/>
      <c r="I137" s="5"/>
      <c r="J137" s="5"/>
      <c r="K137" s="5"/>
    </row>
    <row r="138" spans="2:11" x14ac:dyDescent="0.25">
      <c r="B138" s="5"/>
      <c r="D138" s="5"/>
      <c r="E138" s="5"/>
      <c r="F138" s="5"/>
      <c r="G138" s="5"/>
      <c r="H138" s="5"/>
      <c r="I138" s="5"/>
      <c r="J138" s="5"/>
      <c r="K138" s="5"/>
    </row>
    <row r="139" spans="2:11" x14ac:dyDescent="0.25">
      <c r="B139" s="5"/>
      <c r="D139" s="5"/>
      <c r="E139" s="5"/>
      <c r="F139" s="5"/>
      <c r="G139" s="5"/>
      <c r="H139" s="5"/>
      <c r="I139" s="5"/>
      <c r="J139" s="5"/>
      <c r="K139" s="5"/>
    </row>
    <row r="140" spans="2:11" x14ac:dyDescent="0.25">
      <c r="B140" s="5"/>
      <c r="D140" s="5"/>
      <c r="E140" s="5"/>
      <c r="F140" s="5"/>
      <c r="G140" s="5"/>
      <c r="H140" s="5"/>
      <c r="I140" s="5"/>
      <c r="J140" s="5"/>
      <c r="K140" s="5"/>
    </row>
    <row r="141" spans="2:11" x14ac:dyDescent="0.25">
      <c r="B141" s="5"/>
      <c r="D141" s="5"/>
      <c r="E141" s="5"/>
      <c r="F141" s="5"/>
      <c r="G141" s="5"/>
      <c r="H141" s="5"/>
      <c r="I141" s="5"/>
      <c r="J141" s="5"/>
      <c r="K141" s="5"/>
    </row>
    <row r="142" spans="2:11" x14ac:dyDescent="0.25">
      <c r="B142" s="5"/>
      <c r="D142" s="5"/>
      <c r="E142" s="5"/>
      <c r="F142" s="5"/>
      <c r="G142" s="5"/>
      <c r="H142" s="5"/>
      <c r="I142" s="5"/>
      <c r="J142" s="5"/>
      <c r="K142" s="5"/>
    </row>
    <row r="143" spans="2:11" x14ac:dyDescent="0.25">
      <c r="B143" s="5"/>
      <c r="D143" s="5"/>
      <c r="E143" s="5"/>
      <c r="F143" s="5"/>
      <c r="G143" s="5"/>
      <c r="H143" s="5"/>
      <c r="I143" s="5"/>
      <c r="J143" s="5"/>
      <c r="K143" s="5"/>
    </row>
    <row r="144" spans="2:11" x14ac:dyDescent="0.25">
      <c r="B144" s="5"/>
      <c r="D144" s="5"/>
      <c r="E144" s="5"/>
      <c r="F144" s="5"/>
      <c r="G144" s="5"/>
      <c r="H144" s="5"/>
      <c r="I144" s="5"/>
      <c r="J144" s="5"/>
      <c r="K144" s="5"/>
    </row>
    <row r="145" spans="2:11" x14ac:dyDescent="0.25">
      <c r="B145" s="5"/>
      <c r="D145" s="5"/>
      <c r="E145" s="5"/>
      <c r="F145" s="5"/>
      <c r="G145" s="5"/>
      <c r="H145" s="5"/>
      <c r="I145" s="5"/>
      <c r="J145" s="5"/>
      <c r="K145" s="5"/>
    </row>
    <row r="146" spans="2:11" x14ac:dyDescent="0.25">
      <c r="B146" s="5"/>
      <c r="D146" s="5"/>
      <c r="E146" s="5"/>
      <c r="F146" s="5"/>
      <c r="G146" s="5"/>
      <c r="H146" s="5"/>
      <c r="I146" s="5"/>
      <c r="J146" s="5"/>
      <c r="K146" s="5"/>
    </row>
    <row r="147" spans="2:11" x14ac:dyDescent="0.25">
      <c r="B147" s="5"/>
      <c r="D147" s="5"/>
      <c r="E147" s="5"/>
      <c r="F147" s="5"/>
      <c r="G147" s="5"/>
      <c r="H147" s="5"/>
      <c r="I147" s="5"/>
      <c r="J147" s="5"/>
      <c r="K147" s="5"/>
    </row>
    <row r="148" spans="2:11" x14ac:dyDescent="0.25">
      <c r="B148" s="5"/>
      <c r="D148" s="5"/>
      <c r="E148" s="5"/>
      <c r="F148" s="5"/>
      <c r="G148" s="5"/>
      <c r="H148" s="5"/>
      <c r="I148" s="5"/>
      <c r="J148" s="5"/>
      <c r="K148" s="5"/>
    </row>
    <row r="149" spans="2:11" x14ac:dyDescent="0.25">
      <c r="B149" s="5"/>
      <c r="D149" s="5"/>
      <c r="E149" s="5"/>
      <c r="F149" s="5"/>
      <c r="G149" s="5"/>
      <c r="H149" s="5"/>
      <c r="I149" s="5"/>
      <c r="J149" s="5"/>
      <c r="K149" s="5"/>
    </row>
    <row r="150" spans="2:11" x14ac:dyDescent="0.25">
      <c r="B150" s="5"/>
      <c r="D150" s="5"/>
      <c r="E150" s="5"/>
      <c r="F150" s="5"/>
      <c r="G150" s="5"/>
      <c r="H150" s="5"/>
      <c r="I150" s="5"/>
      <c r="J150" s="5"/>
      <c r="K150" s="5"/>
    </row>
    <row r="151" spans="2:11" x14ac:dyDescent="0.25">
      <c r="B151" s="5"/>
      <c r="D151" s="5"/>
      <c r="E151" s="5"/>
      <c r="F151" s="5"/>
      <c r="G151" s="5"/>
      <c r="H151" s="5"/>
      <c r="I151" s="5"/>
      <c r="J151" s="5"/>
      <c r="K151" s="5"/>
    </row>
    <row r="152" spans="2:11" x14ac:dyDescent="0.25">
      <c r="B152" s="5"/>
      <c r="D152" s="5"/>
      <c r="E152" s="5"/>
      <c r="F152" s="5"/>
      <c r="G152" s="5"/>
      <c r="H152" s="5"/>
      <c r="I152" s="5"/>
      <c r="J152" s="5"/>
      <c r="K152" s="5"/>
    </row>
    <row r="153" spans="2:11" x14ac:dyDescent="0.25">
      <c r="B153" s="5"/>
      <c r="D153" s="5"/>
      <c r="E153" s="5"/>
      <c r="F153" s="5"/>
      <c r="G153" s="5"/>
      <c r="H153" s="5"/>
      <c r="I153" s="5"/>
      <c r="J153" s="5"/>
      <c r="K153" s="5"/>
    </row>
    <row r="154" spans="2:11" x14ac:dyDescent="0.25">
      <c r="B154" s="5"/>
      <c r="D154" s="5"/>
      <c r="E154" s="5"/>
      <c r="F154" s="5"/>
      <c r="G154" s="5"/>
      <c r="H154" s="5"/>
      <c r="I154" s="5"/>
      <c r="J154" s="5"/>
      <c r="K154" s="5"/>
    </row>
    <row r="155" spans="2:11" x14ac:dyDescent="0.25">
      <c r="B155" s="5"/>
      <c r="D155" s="5"/>
      <c r="E155" s="5"/>
      <c r="F155" s="5"/>
      <c r="G155" s="5"/>
      <c r="H155" s="5"/>
      <c r="I155" s="5"/>
      <c r="J155" s="5"/>
      <c r="K155" s="5"/>
    </row>
    <row r="156" spans="2:11" x14ac:dyDescent="0.25">
      <c r="B156" s="5"/>
      <c r="D156" s="5"/>
      <c r="E156" s="5"/>
      <c r="F156" s="5"/>
      <c r="G156" s="5"/>
      <c r="H156" s="5"/>
      <c r="I156" s="5"/>
      <c r="J156" s="5"/>
      <c r="K156" s="5"/>
    </row>
    <row r="157" spans="2:11" x14ac:dyDescent="0.25">
      <c r="B157" s="5"/>
      <c r="D157" s="5"/>
      <c r="E157" s="5"/>
      <c r="F157" s="5"/>
      <c r="G157" s="5"/>
      <c r="H157" s="5"/>
      <c r="I157" s="5"/>
      <c r="J157" s="5"/>
      <c r="K157" s="5"/>
    </row>
    <row r="158" spans="2:11" x14ac:dyDescent="0.25">
      <c r="B158" s="5"/>
      <c r="D158" s="5"/>
      <c r="E158" s="5"/>
      <c r="F158" s="5"/>
      <c r="G158" s="5"/>
      <c r="H158" s="5"/>
      <c r="I158" s="5"/>
      <c r="J158" s="5"/>
      <c r="K158" s="5"/>
    </row>
    <row r="159" spans="2:11" x14ac:dyDescent="0.25">
      <c r="B159" s="5"/>
      <c r="D159" s="5"/>
      <c r="E159" s="5"/>
      <c r="F159" s="5"/>
      <c r="G159" s="5"/>
      <c r="H159" s="5"/>
      <c r="I159" s="5"/>
      <c r="J159" s="5"/>
      <c r="K159" s="5"/>
    </row>
    <row r="160" spans="2:11" x14ac:dyDescent="0.25">
      <c r="B160" s="5"/>
      <c r="D160" s="5"/>
      <c r="E160" s="5"/>
      <c r="F160" s="5"/>
      <c r="G160" s="5"/>
      <c r="H160" s="5"/>
      <c r="I160" s="5"/>
      <c r="J160" s="5"/>
      <c r="K160" s="5"/>
    </row>
    <row r="161" spans="2:11" x14ac:dyDescent="0.25">
      <c r="B161" s="5"/>
      <c r="D161" s="5"/>
      <c r="E161" s="5"/>
      <c r="F161" s="5"/>
      <c r="G161" s="5"/>
      <c r="H161" s="5"/>
      <c r="I161" s="5"/>
      <c r="J161" s="5"/>
      <c r="K161" s="5"/>
    </row>
    <row r="162" spans="2:11" x14ac:dyDescent="0.25">
      <c r="B162" s="5"/>
      <c r="D162" s="5"/>
      <c r="E162" s="5"/>
      <c r="F162" s="5"/>
      <c r="G162" s="5"/>
      <c r="H162" s="5"/>
      <c r="I162" s="5"/>
      <c r="J162" s="5"/>
      <c r="K162" s="5"/>
    </row>
    <row r="163" spans="2:11" x14ac:dyDescent="0.25">
      <c r="B163" s="5"/>
      <c r="D163" s="5"/>
      <c r="E163" s="5"/>
      <c r="F163" s="5"/>
      <c r="G163" s="5"/>
      <c r="H163" s="5"/>
      <c r="I163" s="5"/>
      <c r="J163" s="5"/>
      <c r="K163" s="5"/>
    </row>
    <row r="164" spans="2:11" x14ac:dyDescent="0.25">
      <c r="B164" s="5"/>
      <c r="D164" s="5"/>
      <c r="E164" s="5"/>
      <c r="F164" s="5"/>
      <c r="G164" s="5"/>
      <c r="H164" s="5"/>
      <c r="I164" s="5"/>
      <c r="J164" s="5"/>
      <c r="K164" s="5"/>
    </row>
    <row r="165" spans="2:11" x14ac:dyDescent="0.25">
      <c r="B165" s="5"/>
      <c r="D165" s="5"/>
      <c r="E165" s="5"/>
      <c r="F165" s="5"/>
      <c r="G165" s="5"/>
      <c r="H165" s="5"/>
      <c r="I165" s="5"/>
      <c r="J165" s="5"/>
      <c r="K165" s="5"/>
    </row>
    <row r="166" spans="2:11" x14ac:dyDescent="0.25">
      <c r="B166" s="5"/>
      <c r="D166" s="5"/>
      <c r="E166" s="5"/>
      <c r="F166" s="5"/>
      <c r="G166" s="5"/>
      <c r="H166" s="5"/>
      <c r="I166" s="5"/>
      <c r="J166" s="5"/>
      <c r="K166" s="5"/>
    </row>
    <row r="167" spans="2:11" x14ac:dyDescent="0.25">
      <c r="B167" s="5"/>
      <c r="D167" s="5"/>
      <c r="E167" s="5"/>
      <c r="F167" s="5"/>
      <c r="G167" s="5"/>
      <c r="H167" s="5"/>
      <c r="I167" s="5"/>
      <c r="J167" s="5"/>
      <c r="K167" s="5"/>
    </row>
    <row r="168" spans="2:11" x14ac:dyDescent="0.25">
      <c r="B168" s="5"/>
      <c r="D168" s="5"/>
      <c r="E168" s="5"/>
      <c r="F168" s="5"/>
      <c r="G168" s="5"/>
      <c r="H168" s="5"/>
      <c r="I168" s="5"/>
      <c r="J168" s="5"/>
      <c r="K168" s="5"/>
    </row>
    <row r="169" spans="2:11" x14ac:dyDescent="0.25">
      <c r="B169" s="5"/>
      <c r="D169" s="5"/>
      <c r="E169" s="5"/>
      <c r="F169" s="5"/>
      <c r="G169" s="5"/>
      <c r="H169" s="5"/>
      <c r="I169" s="5"/>
      <c r="J169" s="5"/>
      <c r="K169" s="5"/>
    </row>
    <row r="170" spans="2:11" x14ac:dyDescent="0.25">
      <c r="B170" s="5"/>
      <c r="D170" s="5"/>
      <c r="E170" s="5"/>
      <c r="F170" s="5"/>
      <c r="G170" s="5"/>
      <c r="H170" s="5"/>
      <c r="I170" s="5"/>
      <c r="J170" s="5"/>
      <c r="K170" s="5"/>
    </row>
    <row r="171" spans="2:11" x14ac:dyDescent="0.25">
      <c r="B171" s="5"/>
      <c r="D171" s="5"/>
      <c r="E171" s="5"/>
      <c r="F171" s="5"/>
      <c r="G171" s="5"/>
      <c r="H171" s="5"/>
      <c r="I171" s="5"/>
      <c r="J171" s="5"/>
      <c r="K171" s="5"/>
    </row>
    <row r="172" spans="2:11" x14ac:dyDescent="0.25">
      <c r="B172" s="5"/>
      <c r="D172" s="5"/>
      <c r="E172" s="5"/>
      <c r="F172" s="5"/>
      <c r="G172" s="5"/>
      <c r="H172" s="5"/>
      <c r="I172" s="5"/>
      <c r="J172" s="5"/>
      <c r="K172" s="5"/>
    </row>
    <row r="173" spans="2:11" x14ac:dyDescent="0.25">
      <c r="B173" s="5"/>
      <c r="D173" s="5"/>
      <c r="E173" s="5"/>
      <c r="F173" s="5"/>
      <c r="G173" s="5"/>
      <c r="H173" s="5"/>
      <c r="I173" s="5"/>
      <c r="J173" s="5"/>
      <c r="K173" s="5"/>
    </row>
    <row r="174" spans="2:11" x14ac:dyDescent="0.25">
      <c r="B174" s="5"/>
      <c r="D174" s="5"/>
      <c r="E174" s="5"/>
      <c r="F174" s="5"/>
      <c r="G174" s="5"/>
      <c r="H174" s="5"/>
      <c r="I174" s="5"/>
      <c r="J174" s="5"/>
      <c r="K174" s="5"/>
    </row>
    <row r="175" spans="2:11" x14ac:dyDescent="0.25">
      <c r="B175" s="5"/>
      <c r="D175" s="5"/>
      <c r="E175" s="5"/>
      <c r="F175" s="5"/>
      <c r="G175" s="5"/>
      <c r="H175" s="5"/>
      <c r="I175" s="5"/>
      <c r="J175" s="5"/>
      <c r="K175" s="5"/>
    </row>
    <row r="176" spans="2:11" x14ac:dyDescent="0.25">
      <c r="B176" s="5"/>
      <c r="D176" s="5"/>
      <c r="E176" s="5"/>
      <c r="F176" s="5"/>
      <c r="G176" s="5"/>
      <c r="H176" s="5"/>
      <c r="I176" s="5"/>
      <c r="J176" s="5"/>
      <c r="K176" s="5"/>
    </row>
    <row r="177" spans="2:11" x14ac:dyDescent="0.25">
      <c r="B177" s="5"/>
      <c r="D177" s="5"/>
      <c r="E177" s="5"/>
      <c r="F177" s="5"/>
      <c r="G177" s="5"/>
      <c r="H177" s="5"/>
      <c r="I177" s="5"/>
      <c r="J177" s="5"/>
      <c r="K177" s="5"/>
    </row>
    <row r="178" spans="2:11" x14ac:dyDescent="0.25">
      <c r="B178" s="5"/>
      <c r="D178" s="5"/>
      <c r="E178" s="5"/>
      <c r="F178" s="5"/>
      <c r="G178" s="5"/>
      <c r="H178" s="5"/>
      <c r="I178" s="5"/>
      <c r="J178" s="5"/>
      <c r="K178" s="5"/>
    </row>
    <row r="179" spans="2:11" x14ac:dyDescent="0.25">
      <c r="B179" s="5"/>
      <c r="D179" s="5"/>
      <c r="E179" s="5"/>
      <c r="F179" s="5"/>
      <c r="G179" s="5"/>
      <c r="H179" s="5"/>
      <c r="I179" s="5"/>
      <c r="J179" s="5"/>
      <c r="K179" s="5"/>
    </row>
    <row r="180" spans="2:11" x14ac:dyDescent="0.25">
      <c r="B180" s="5"/>
      <c r="D180" s="5"/>
      <c r="E180" s="5"/>
      <c r="F180" s="5"/>
      <c r="G180" s="5"/>
      <c r="H180" s="5"/>
      <c r="I180" s="5"/>
      <c r="J180" s="5"/>
      <c r="K180" s="5"/>
    </row>
  </sheetData>
  <mergeCells count="37">
    <mergeCell ref="A1:P1"/>
    <mergeCell ref="A2:P2"/>
    <mergeCell ref="A3:P3"/>
    <mergeCell ref="A4:D4"/>
    <mergeCell ref="A5:P5"/>
    <mergeCell ref="B118:B136"/>
    <mergeCell ref="B70:E71"/>
    <mergeCell ref="C22:C23"/>
    <mergeCell ref="B77:B92"/>
    <mergeCell ref="B93:B94"/>
    <mergeCell ref="D93:D94"/>
    <mergeCell ref="B95:B117"/>
    <mergeCell ref="C33:C35"/>
    <mergeCell ref="D33:D35"/>
    <mergeCell ref="B47:E47"/>
    <mergeCell ref="E34:E35"/>
    <mergeCell ref="D31:L31"/>
    <mergeCell ref="D32:L32"/>
    <mergeCell ref="D22:D23"/>
    <mergeCell ref="E22:E23"/>
    <mergeCell ref="F22:G22"/>
    <mergeCell ref="B48:B54"/>
    <mergeCell ref="B56:E56"/>
    <mergeCell ref="B57:B63"/>
    <mergeCell ref="B10:D10"/>
    <mergeCell ref="F10:S10"/>
    <mergeCell ref="F11:S11"/>
    <mergeCell ref="E12:R12"/>
    <mergeCell ref="E13:R13"/>
    <mergeCell ref="F33:G33"/>
    <mergeCell ref="H33:H35"/>
    <mergeCell ref="F34:F35"/>
    <mergeCell ref="D21:L21"/>
    <mergeCell ref="H22:K22"/>
    <mergeCell ref="D15:L15"/>
    <mergeCell ref="D20:L20"/>
    <mergeCell ref="B15:B19"/>
  </mergeCells>
  <conditionalFormatting sqref="D42">
    <cfRule type="containsText" dxfId="42" priority="5" operator="containsText" text="ERROR">
      <formula>NOT(ISERROR(SEARCH("ERROR",D42)))</formula>
    </cfRule>
  </conditionalFormatting>
  <conditionalFormatting sqref="E12:R12">
    <cfRule type="expression" dxfId="41" priority="1">
      <formula>E11="SI SE REPORTA"</formula>
    </cfRule>
  </conditionalFormatting>
  <conditionalFormatting sqref="F10">
    <cfRule type="notContainsBlanks" dxfId="40" priority="4">
      <formula>LEN(TRIM(F10))&gt;0</formula>
    </cfRule>
  </conditionalFormatting>
  <conditionalFormatting sqref="F11:S11">
    <cfRule type="expression" dxfId="39" priority="2">
      <formula>E11="NO SE REPORTA"</formula>
    </cfRule>
    <cfRule type="expression" dxfId="38" priority="3">
      <formula>E10="NO APLICA"</formula>
    </cfRule>
  </conditionalFormatting>
  <dataValidations count="8">
    <dataValidation type="decimal" operator="greaterThanOrEqual" allowBlank="1" showInputMessage="1" showErrorMessage="1" prompt="ERROR - Valor en PESOS (sin centavos)" sqref="H24:I24" xr:uid="{8EB23FCF-8DE0-4043-B875-0ECB13A71FEC}">
      <formula1>0</formula1>
    </dataValidation>
    <dataValidation type="decimal" allowBlank="1" showInputMessage="1" showErrorMessage="1" prompt="ERROR - Escriba un valor entre 0% y 100%" sqref="F24:G24" xr:uid="{61B359DC-E361-44E2-97BA-2737AFB409EC}">
      <formula1>0</formula1>
      <formula2>1</formula2>
    </dataValidation>
    <dataValidation type="list" allowBlank="1" showInputMessage="1" showErrorMessage="1" sqref="E10" xr:uid="{00000000-0002-0000-1C00-000005000000}">
      <formula1>SI</formula1>
    </dataValidation>
    <dataValidation type="list" allowBlank="1" showInputMessage="1" showErrorMessage="1" sqref="E11" xr:uid="{00000000-0002-0000-1C00-000004000000}">
      <formula1>REPORTE</formula1>
    </dataValidation>
    <dataValidation allowBlank="1" showInputMessage="1" showErrorMessage="1" sqref="H30:K30 F36:G42 D42:E42" xr:uid="{00000000-0002-0000-1C00-000003000000}"/>
    <dataValidation type="decimal" allowBlank="1" showInputMessage="1" showErrorMessage="1" errorTitle="ERROR" error="Escriba un valor entre 0% y 100%" sqref="E36:E41 F25:G29" xr:uid="{00000000-0002-0000-1C00-000002000000}">
      <formula1>0</formula1>
      <formula2>1</formula2>
    </dataValidation>
    <dataValidation type="whole" operator="greaterThanOrEqual" allowBlank="1" showInputMessage="1" showErrorMessage="1" errorTitle="ERROR" error="Valor en PESOS (sin centavos)" sqref="E18:H19 J24:K29 H25:I29" xr:uid="{00000000-0002-0000-1C00-000001000000}">
      <formula1>0</formula1>
    </dataValidation>
    <dataValidation type="whole" operator="greaterThanOrEqual" allowBlank="1" showErrorMessage="1" errorTitle="ERROR" error="Escriba un número igual o mayor que 0" promptTitle="ERROR" prompt="Escriba un número igual o mayor que 0" sqref="E17:H17" xr:uid="{00000000-0002-0000-1C00-000000000000}">
      <formula1>0</formula1>
    </dataValidation>
  </dataValidations>
  <hyperlinks>
    <hyperlink ref="D92" r:id="rId1" xr:uid="{D4F098CA-8B11-4BFC-9285-32D2C5DD1F5C}"/>
    <hyperlink ref="B9" location="'ANEXO 3'!A1" display="VOLVER AL INDICE" xr:uid="{6DF2169A-A84E-4079-890C-3B77810CA6A6}"/>
    <hyperlink ref="E52" r:id="rId2" xr:uid="{59C36F2E-31B0-4691-8AC3-F5CF53645D47}"/>
  </hyperlinks>
  <pageMargins left="0.25" right="0.25" top="0.75" bottom="0.75" header="0.3" footer="0.3"/>
  <pageSetup paperSize="178" orientation="landscape" horizontalDpi="1200" verticalDpi="1200" r:id="rId3"/>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7CF90-6847-4DE1-91C2-5BBF366D0E26}">
  <dimension ref="A1:U189"/>
  <sheetViews>
    <sheetView showGridLines="0" topLeftCell="B35" zoomScale="98" zoomScaleNormal="98" workbookViewId="0">
      <selection activeCell="D18" sqref="D18:I18"/>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 min="9" max="9" width="11.42578125" style="133"/>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30</v>
      </c>
      <c r="B5" s="998"/>
      <c r="C5" s="998"/>
      <c r="D5" s="998"/>
      <c r="E5" s="998"/>
      <c r="F5" s="998"/>
      <c r="G5" s="998"/>
      <c r="H5" s="998"/>
      <c r="I5" s="998"/>
      <c r="J5" s="998"/>
      <c r="K5" s="998"/>
      <c r="L5" s="998"/>
      <c r="M5" s="998"/>
      <c r="N5" s="998"/>
      <c r="O5" s="998"/>
      <c r="P5" s="999"/>
    </row>
    <row r="6" spans="1:21" x14ac:dyDescent="0.25">
      <c r="B6" s="3" t="s">
        <v>626</v>
      </c>
      <c r="C6" s="95"/>
      <c r="D6" s="5"/>
      <c r="E6" s="74"/>
      <c r="F6" s="5" t="s">
        <v>627</v>
      </c>
      <c r="G6" s="5"/>
      <c r="H6" s="5"/>
      <c r="I6" s="87"/>
      <c r="J6" s="5"/>
      <c r="K6" s="5"/>
    </row>
    <row r="7" spans="1:21" ht="15.75" thickBot="1" x14ac:dyDescent="0.3">
      <c r="B7" s="75"/>
      <c r="C7" s="77"/>
      <c r="D7" s="5"/>
      <c r="E7" s="17"/>
      <c r="F7" s="5" t="s">
        <v>628</v>
      </c>
      <c r="G7" s="5"/>
      <c r="H7" s="5"/>
      <c r="I7" s="87"/>
      <c r="J7" s="5"/>
      <c r="K7" s="5"/>
    </row>
    <row r="8" spans="1:21" ht="15.75" thickBot="1" x14ac:dyDescent="0.3">
      <c r="B8" s="171" t="s">
        <v>629</v>
      </c>
      <c r="C8" s="211">
        <v>2024</v>
      </c>
      <c r="D8" s="216">
        <f>IF(E10="NO APLICA","NO APLICA",IF(E11="NO SE REPORTA","SIN INFORMACION",+G57))</f>
        <v>0.55806281271413083</v>
      </c>
      <c r="E8" s="212"/>
      <c r="F8" s="5" t="s">
        <v>630</v>
      </c>
      <c r="G8" s="5"/>
      <c r="H8" s="5"/>
      <c r="I8" s="87"/>
      <c r="J8" s="5"/>
      <c r="K8" s="5"/>
    </row>
    <row r="9" spans="1:21" x14ac:dyDescent="0.25">
      <c r="B9" s="358" t="s">
        <v>631</v>
      </c>
      <c r="D9" s="5"/>
      <c r="E9" s="5"/>
      <c r="F9" s="5"/>
      <c r="G9" s="5"/>
      <c r="H9" s="5"/>
      <c r="I9" s="87"/>
      <c r="J9" s="5"/>
      <c r="K9" s="5"/>
    </row>
    <row r="10" spans="1:21" x14ac:dyDescent="0.25">
      <c r="B10" s="1008" t="s">
        <v>632</v>
      </c>
      <c r="C10" s="1008"/>
      <c r="D10" s="1008"/>
      <c r="E10" s="361" t="s">
        <v>633</v>
      </c>
      <c r="F10" s="99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96"/>
      <c r="H10" s="996"/>
      <c r="I10" s="996"/>
      <c r="J10" s="996"/>
      <c r="K10" s="996"/>
      <c r="L10" s="996"/>
      <c r="M10" s="996"/>
      <c r="N10" s="996"/>
      <c r="O10" s="996"/>
      <c r="P10" s="996"/>
      <c r="Q10" s="996"/>
      <c r="R10" s="996"/>
      <c r="S10" s="996"/>
      <c r="T10" s="5"/>
      <c r="U10" s="5"/>
    </row>
    <row r="11" spans="1:21" ht="14.45" customHeight="1" x14ac:dyDescent="0.25">
      <c r="B11" s="360"/>
      <c r="C11" s="88"/>
      <c r="D11" s="171" t="str">
        <f>IF(E10="SI APLICA","¿El indicador no se reporta por limitaciones de información disponible? ","")</f>
        <v xml:space="preserve">¿El indicador no se reporta por limitaciones de información disponible? </v>
      </c>
      <c r="E11" s="362" t="s">
        <v>634</v>
      </c>
      <c r="F11" s="1009"/>
      <c r="G11" s="1010"/>
      <c r="H11" s="1010"/>
      <c r="I11" s="1010"/>
      <c r="J11" s="1010"/>
      <c r="K11" s="1010"/>
      <c r="L11" s="1010"/>
      <c r="M11" s="1010"/>
      <c r="N11" s="1010"/>
      <c r="O11" s="1010"/>
      <c r="P11" s="1010"/>
      <c r="Q11" s="1010"/>
      <c r="R11" s="1010"/>
      <c r="S11" s="1010"/>
    </row>
    <row r="12" spans="1:21" ht="23.45" customHeight="1" x14ac:dyDescent="0.25">
      <c r="B12" s="358"/>
      <c r="C12" s="88"/>
      <c r="D12" s="171" t="str">
        <f>IF(E11="SI SE REPORTA","¿Qué programas o proyectos del Plan de Acción están asociados al indicador? ","")</f>
        <v xml:space="preserve">¿Qué programas o proyectos del Plan de Acción están asociados al indicador? </v>
      </c>
      <c r="E12" s="1011" t="s">
        <v>2367</v>
      </c>
      <c r="F12" s="1011"/>
      <c r="G12" s="1011"/>
      <c r="H12" s="1011"/>
      <c r="I12" s="1011"/>
      <c r="J12" s="1011"/>
      <c r="K12" s="1011"/>
      <c r="L12" s="1011"/>
      <c r="M12" s="1011"/>
      <c r="N12" s="1011"/>
      <c r="O12" s="1011"/>
      <c r="P12" s="1011"/>
      <c r="Q12" s="1011"/>
      <c r="R12" s="1011"/>
    </row>
    <row r="13" spans="1:21" ht="21.95" customHeight="1" x14ac:dyDescent="0.25">
      <c r="B13" s="358"/>
      <c r="C13" s="88"/>
      <c r="D13" s="171" t="s">
        <v>635</v>
      </c>
      <c r="E13" s="1012"/>
      <c r="F13" s="1013"/>
      <c r="G13" s="1013"/>
      <c r="H13" s="1013"/>
      <c r="I13" s="1013"/>
      <c r="J13" s="1013"/>
      <c r="K13" s="1013"/>
      <c r="L13" s="1013"/>
      <c r="M13" s="1013"/>
      <c r="N13" s="1013"/>
      <c r="O13" s="1013"/>
      <c r="P13" s="1013"/>
      <c r="Q13" s="1013"/>
      <c r="R13" s="1014"/>
    </row>
    <row r="14" spans="1:21" ht="6.95" customHeight="1" thickBot="1" x14ac:dyDescent="0.3">
      <c r="B14" s="358"/>
      <c r="D14" s="5"/>
      <c r="E14" s="5"/>
      <c r="F14" s="5"/>
      <c r="G14" s="5"/>
      <c r="H14" s="5"/>
      <c r="I14" s="87"/>
      <c r="J14" s="5"/>
      <c r="K14" s="5"/>
    </row>
    <row r="15" spans="1:21" x14ac:dyDescent="0.25">
      <c r="B15" s="974" t="s">
        <v>636</v>
      </c>
      <c r="C15" s="89"/>
      <c r="D15" s="956" t="s">
        <v>637</v>
      </c>
      <c r="E15" s="957"/>
      <c r="F15" s="957"/>
      <c r="G15" s="957"/>
      <c r="H15" s="957"/>
      <c r="I15" s="958"/>
      <c r="J15" s="5"/>
      <c r="K15" s="5"/>
    </row>
    <row r="16" spans="1:21" x14ac:dyDescent="0.25">
      <c r="B16" s="975"/>
      <c r="C16" s="92"/>
      <c r="D16" s="1116" t="s">
        <v>1510</v>
      </c>
      <c r="E16" s="1117"/>
      <c r="F16" s="1117"/>
      <c r="G16" s="1117"/>
      <c r="H16" s="1117"/>
      <c r="I16" s="1118"/>
      <c r="J16" s="5"/>
      <c r="K16" s="5"/>
    </row>
    <row r="17" spans="2:11" ht="15.75" thickBot="1" x14ac:dyDescent="0.3">
      <c r="B17" s="975"/>
      <c r="C17" s="92"/>
      <c r="D17" s="986"/>
      <c r="E17" s="987"/>
      <c r="F17" s="987"/>
      <c r="G17" s="987"/>
      <c r="H17" s="987"/>
      <c r="I17" s="988"/>
      <c r="J17" s="5"/>
      <c r="K17" s="5"/>
    </row>
    <row r="18" spans="2:11" ht="15.75" thickBot="1" x14ac:dyDescent="0.3">
      <c r="B18" s="975"/>
      <c r="C18" s="94"/>
      <c r="D18" s="43" t="s">
        <v>763</v>
      </c>
      <c r="E18" s="38" t="s">
        <v>587</v>
      </c>
      <c r="F18" s="38" t="s">
        <v>588</v>
      </c>
      <c r="G18" s="38" t="s">
        <v>589</v>
      </c>
      <c r="H18" s="38" t="s">
        <v>590</v>
      </c>
      <c r="I18" s="90" t="s">
        <v>764</v>
      </c>
      <c r="J18" s="5"/>
      <c r="K18" s="5"/>
    </row>
    <row r="19" spans="2:11" ht="36.75" thickBot="1" x14ac:dyDescent="0.3">
      <c r="B19" s="975"/>
      <c r="C19" s="94"/>
      <c r="D19" s="40" t="s">
        <v>1511</v>
      </c>
      <c r="E19" s="6">
        <v>2552</v>
      </c>
      <c r="F19" s="6"/>
      <c r="G19" s="6"/>
      <c r="H19" s="6"/>
      <c r="I19" s="144">
        <f>SUM(E19:H19)</f>
        <v>2552</v>
      </c>
      <c r="J19" s="5"/>
      <c r="K19" s="5"/>
    </row>
    <row r="20" spans="2:11" ht="24.75" thickBot="1" x14ac:dyDescent="0.3">
      <c r="B20" s="975"/>
      <c r="C20" s="94"/>
      <c r="D20" s="40" t="s">
        <v>1512</v>
      </c>
      <c r="E20" s="6">
        <v>18</v>
      </c>
      <c r="F20" s="6"/>
      <c r="G20" s="6"/>
      <c r="H20" s="6"/>
      <c r="I20" s="144">
        <f>SUM(E20:H20)</f>
        <v>18</v>
      </c>
      <c r="J20" s="5"/>
      <c r="K20" s="5"/>
    </row>
    <row r="21" spans="2:11" ht="36.75" thickBot="1" x14ac:dyDescent="0.3">
      <c r="B21" s="975"/>
      <c r="C21" s="94"/>
      <c r="D21" s="40" t="s">
        <v>1513</v>
      </c>
      <c r="E21" s="145">
        <f>+E19/E20</f>
        <v>141.77777777777777</v>
      </c>
      <c r="F21" s="145" t="e">
        <f>+F19/F20</f>
        <v>#DIV/0!</v>
      </c>
      <c r="G21" s="145" t="e">
        <f>+G19/G20</f>
        <v>#DIV/0!</v>
      </c>
      <c r="H21" s="145" t="e">
        <f>+H19/H20</f>
        <v>#DIV/0!</v>
      </c>
      <c r="I21" s="145">
        <f>+I19/I20</f>
        <v>141.77777777777777</v>
      </c>
      <c r="J21" s="5"/>
      <c r="K21" s="5"/>
    </row>
    <row r="22" spans="2:11" x14ac:dyDescent="0.25">
      <c r="B22" s="975"/>
      <c r="C22" s="92"/>
      <c r="D22" s="956"/>
      <c r="E22" s="957"/>
      <c r="F22" s="957"/>
      <c r="G22" s="957"/>
      <c r="H22" s="957"/>
      <c r="I22" s="958"/>
      <c r="J22" s="5"/>
      <c r="K22" s="5"/>
    </row>
    <row r="23" spans="2:11" x14ac:dyDescent="0.25">
      <c r="B23" s="975"/>
      <c r="C23" s="92"/>
      <c r="D23" s="1116" t="s">
        <v>1514</v>
      </c>
      <c r="E23" s="1117"/>
      <c r="F23" s="1117"/>
      <c r="G23" s="1117"/>
      <c r="H23" s="1117"/>
      <c r="I23" s="1118"/>
      <c r="J23" s="5"/>
      <c r="K23" s="5"/>
    </row>
    <row r="24" spans="2:11" ht="15.75" thickBot="1" x14ac:dyDescent="0.3">
      <c r="B24" s="975"/>
      <c r="C24" s="92"/>
      <c r="D24" s="953"/>
      <c r="E24" s="954"/>
      <c r="F24" s="954"/>
      <c r="G24" s="954"/>
      <c r="H24" s="954"/>
      <c r="I24" s="955"/>
      <c r="J24" s="5"/>
      <c r="K24" s="5"/>
    </row>
    <row r="25" spans="2:11" ht="15.75" thickBot="1" x14ac:dyDescent="0.3">
      <c r="B25" s="975"/>
      <c r="C25" s="94"/>
      <c r="D25" s="43" t="s">
        <v>763</v>
      </c>
      <c r="E25" s="38" t="s">
        <v>587</v>
      </c>
      <c r="F25" s="38" t="s">
        <v>588</v>
      </c>
      <c r="G25" s="38" t="s">
        <v>589</v>
      </c>
      <c r="H25" s="38" t="s">
        <v>590</v>
      </c>
      <c r="I25" s="90" t="s">
        <v>764</v>
      </c>
      <c r="J25" s="5"/>
      <c r="K25" s="5"/>
    </row>
    <row r="26" spans="2:11" ht="36.75" thickBot="1" x14ac:dyDescent="0.3">
      <c r="B26" s="975"/>
      <c r="C26" s="94"/>
      <c r="D26" s="40" t="s">
        <v>2366</v>
      </c>
      <c r="E26" s="6">
        <v>11938</v>
      </c>
      <c r="F26" s="6"/>
      <c r="G26" s="6"/>
      <c r="H26" s="6"/>
      <c r="I26" s="144">
        <f>SUM(E26:H26)</f>
        <v>11938</v>
      </c>
      <c r="J26" s="5"/>
      <c r="K26" s="5"/>
    </row>
    <row r="27" spans="2:11" ht="36.75" thickBot="1" x14ac:dyDescent="0.3">
      <c r="B27" s="975"/>
      <c r="C27" s="94"/>
      <c r="D27" s="40" t="s">
        <v>1515</v>
      </c>
      <c r="E27" s="6">
        <v>62</v>
      </c>
      <c r="F27" s="6"/>
      <c r="G27" s="6"/>
      <c r="H27" s="6"/>
      <c r="I27" s="144">
        <f>SUM(E27:H27)</f>
        <v>62</v>
      </c>
      <c r="J27" s="5"/>
      <c r="K27" s="5"/>
    </row>
    <row r="28" spans="2:11" ht="36.75" thickBot="1" x14ac:dyDescent="0.3">
      <c r="B28" s="975"/>
      <c r="C28" s="94"/>
      <c r="D28" s="40" t="s">
        <v>1516</v>
      </c>
      <c r="E28" s="145">
        <f>+E26/E27</f>
        <v>192.54838709677421</v>
      </c>
      <c r="F28" s="145" t="e">
        <f>+F26/F27</f>
        <v>#DIV/0!</v>
      </c>
      <c r="G28" s="145" t="e">
        <f>+G26/G27</f>
        <v>#DIV/0!</v>
      </c>
      <c r="H28" s="145" t="e">
        <f>+H26/H27</f>
        <v>#DIV/0!</v>
      </c>
      <c r="I28" s="145">
        <f>+I26/I27</f>
        <v>192.54838709677421</v>
      </c>
      <c r="J28" s="5"/>
      <c r="K28" s="5"/>
    </row>
    <row r="29" spans="2:11" x14ac:dyDescent="0.25">
      <c r="B29" s="975"/>
      <c r="C29" s="92"/>
      <c r="D29" s="956"/>
      <c r="E29" s="957"/>
      <c r="F29" s="957"/>
      <c r="G29" s="957"/>
      <c r="H29" s="957"/>
      <c r="I29" s="958"/>
      <c r="J29" s="5"/>
      <c r="K29" s="5"/>
    </row>
    <row r="30" spans="2:11" x14ac:dyDescent="0.25">
      <c r="B30" s="975"/>
      <c r="C30" s="92"/>
      <c r="D30" s="1116" t="s">
        <v>1517</v>
      </c>
      <c r="E30" s="1117"/>
      <c r="F30" s="1117"/>
      <c r="G30" s="1117"/>
      <c r="H30" s="1117"/>
      <c r="I30" s="1118"/>
      <c r="J30" s="5"/>
      <c r="K30" s="5"/>
    </row>
    <row r="31" spans="2:11" ht="15.75" thickBot="1" x14ac:dyDescent="0.3">
      <c r="B31" s="975"/>
      <c r="C31" s="92"/>
      <c r="D31" s="986"/>
      <c r="E31" s="987"/>
      <c r="F31" s="987"/>
      <c r="G31" s="987"/>
      <c r="H31" s="987"/>
      <c r="I31" s="988"/>
      <c r="J31" s="5"/>
      <c r="K31" s="5"/>
    </row>
    <row r="32" spans="2:11" ht="15.75" thickBot="1" x14ac:dyDescent="0.3">
      <c r="B32" s="975"/>
      <c r="C32" s="94"/>
      <c r="D32" s="43" t="s">
        <v>763</v>
      </c>
      <c r="E32" s="38" t="s">
        <v>587</v>
      </c>
      <c r="F32" s="38" t="s">
        <v>588</v>
      </c>
      <c r="G32" s="38" t="s">
        <v>589</v>
      </c>
      <c r="H32" s="38" t="s">
        <v>590</v>
      </c>
      <c r="I32" s="90" t="s">
        <v>764</v>
      </c>
      <c r="J32" s="5"/>
      <c r="K32" s="5"/>
    </row>
    <row r="33" spans="2:12" ht="36.75" thickBot="1" x14ac:dyDescent="0.3">
      <c r="B33" s="975"/>
      <c r="C33" s="94"/>
      <c r="D33" s="40" t="s">
        <v>1518</v>
      </c>
      <c r="E33" s="6">
        <v>1409</v>
      </c>
      <c r="F33" s="6"/>
      <c r="G33" s="6"/>
      <c r="H33" s="6"/>
      <c r="I33" s="144">
        <f>SUM(E33:H33)</f>
        <v>1409</v>
      </c>
      <c r="J33" s="5"/>
      <c r="K33" s="5"/>
    </row>
    <row r="34" spans="2:12" ht="24.75" thickBot="1" x14ac:dyDescent="0.3">
      <c r="B34" s="975"/>
      <c r="C34" s="94"/>
      <c r="D34" s="40" t="s">
        <v>1519</v>
      </c>
      <c r="E34" s="6">
        <v>8</v>
      </c>
      <c r="F34" s="6"/>
      <c r="G34" s="6"/>
      <c r="H34" s="6"/>
      <c r="I34" s="144">
        <f>SUM(E34:H34)</f>
        <v>8</v>
      </c>
      <c r="J34" s="5"/>
      <c r="K34" s="5"/>
    </row>
    <row r="35" spans="2:12" ht="36.75" thickBot="1" x14ac:dyDescent="0.3">
      <c r="B35" s="975"/>
      <c r="C35" s="94"/>
      <c r="D35" s="40" t="s">
        <v>1520</v>
      </c>
      <c r="E35" s="145">
        <f>+E33/E34</f>
        <v>176.125</v>
      </c>
      <c r="F35" s="145" t="e">
        <f>+F33/F34</f>
        <v>#DIV/0!</v>
      </c>
      <c r="G35" s="145" t="e">
        <f>+G33/G34</f>
        <v>#DIV/0!</v>
      </c>
      <c r="H35" s="145" t="e">
        <f>+H33/H34</f>
        <v>#DIV/0!</v>
      </c>
      <c r="I35" s="145">
        <f>+I33/I34</f>
        <v>176.125</v>
      </c>
      <c r="J35" s="5"/>
      <c r="K35" s="5"/>
    </row>
    <row r="36" spans="2:12" x14ac:dyDescent="0.25">
      <c r="B36" s="975"/>
      <c r="C36" s="92"/>
      <c r="D36" s="956"/>
      <c r="E36" s="957"/>
      <c r="F36" s="957"/>
      <c r="G36" s="957"/>
      <c r="H36" s="957"/>
      <c r="I36" s="958"/>
      <c r="J36" s="5"/>
      <c r="K36" s="5"/>
    </row>
    <row r="37" spans="2:12" x14ac:dyDescent="0.25">
      <c r="B37" s="975"/>
      <c r="C37" s="92"/>
      <c r="D37" s="1116" t="s">
        <v>1521</v>
      </c>
      <c r="E37" s="1117"/>
      <c r="F37" s="1117"/>
      <c r="G37" s="1117"/>
      <c r="H37" s="1117"/>
      <c r="I37" s="1118"/>
      <c r="J37" s="5"/>
      <c r="K37" s="5"/>
    </row>
    <row r="38" spans="2:12" ht="15.75" thickBot="1" x14ac:dyDescent="0.3">
      <c r="B38" s="975"/>
      <c r="C38" s="92"/>
      <c r="D38" s="986"/>
      <c r="E38" s="987"/>
      <c r="F38" s="987"/>
      <c r="G38" s="987"/>
      <c r="H38" s="987"/>
      <c r="I38" s="988"/>
      <c r="J38" s="5"/>
      <c r="K38" s="5"/>
    </row>
    <row r="39" spans="2:12" ht="15.75" thickBot="1" x14ac:dyDescent="0.3">
      <c r="B39" s="975"/>
      <c r="C39" s="94"/>
      <c r="D39" s="43" t="s">
        <v>763</v>
      </c>
      <c r="E39" s="38" t="s">
        <v>587</v>
      </c>
      <c r="F39" s="38" t="s">
        <v>588</v>
      </c>
      <c r="G39" s="38" t="s">
        <v>589</v>
      </c>
      <c r="H39" s="38" t="s">
        <v>590</v>
      </c>
      <c r="I39" s="90" t="s">
        <v>764</v>
      </c>
      <c r="J39" s="5"/>
      <c r="K39" s="5"/>
    </row>
    <row r="40" spans="2:12" ht="36.75" thickBot="1" x14ac:dyDescent="0.3">
      <c r="B40" s="975"/>
      <c r="C40" s="94"/>
      <c r="D40" s="40" t="s">
        <v>1522</v>
      </c>
      <c r="E40" s="6">
        <v>7152</v>
      </c>
      <c r="F40" s="6"/>
      <c r="G40" s="6"/>
      <c r="H40" s="6"/>
      <c r="I40" s="144">
        <f>SUM(E40:H40)</f>
        <v>7152</v>
      </c>
      <c r="J40" s="5"/>
      <c r="K40" s="5"/>
      <c r="L40">
        <f>6759</f>
        <v>6759</v>
      </c>
    </row>
    <row r="41" spans="2:12" ht="36.75" thickBot="1" x14ac:dyDescent="0.3">
      <c r="B41" s="975"/>
      <c r="C41" s="94"/>
      <c r="D41" s="40" t="s">
        <v>1523</v>
      </c>
      <c r="E41" s="6">
        <v>36</v>
      </c>
      <c r="F41" s="6"/>
      <c r="G41" s="6"/>
      <c r="H41" s="6"/>
      <c r="I41" s="144">
        <f>SUM(E41:H41)</f>
        <v>36</v>
      </c>
      <c r="J41" s="5"/>
      <c r="K41" s="5"/>
      <c r="L41">
        <f>E40-199</f>
        <v>6953</v>
      </c>
    </row>
    <row r="42" spans="2:12" ht="36.75" thickBot="1" x14ac:dyDescent="0.3">
      <c r="B42" s="975"/>
      <c r="C42" s="94"/>
      <c r="D42" s="40" t="s">
        <v>1524</v>
      </c>
      <c r="E42" s="145">
        <f>+E40/E41</f>
        <v>198.66666666666666</v>
      </c>
      <c r="F42" s="145" t="e">
        <f>+F40/F41</f>
        <v>#DIV/0!</v>
      </c>
      <c r="G42" s="145" t="e">
        <f>+G40/G41</f>
        <v>#DIV/0!</v>
      </c>
      <c r="H42" s="145" t="e">
        <f>+H40/H41</f>
        <v>#DIV/0!</v>
      </c>
      <c r="I42" s="145">
        <f>+I40/I41</f>
        <v>198.66666666666666</v>
      </c>
      <c r="J42" s="5"/>
      <c r="K42" s="5"/>
      <c r="L42">
        <f>SUM(L40:L41)</f>
        <v>13712</v>
      </c>
    </row>
    <row r="43" spans="2:12" x14ac:dyDescent="0.25">
      <c r="B43" s="975"/>
      <c r="C43" s="92"/>
      <c r="D43" s="956"/>
      <c r="E43" s="957"/>
      <c r="F43" s="957"/>
      <c r="G43" s="957"/>
      <c r="H43" s="957"/>
      <c r="I43" s="958"/>
      <c r="J43" s="5"/>
      <c r="K43" s="5"/>
    </row>
    <row r="44" spans="2:12" x14ac:dyDescent="0.25">
      <c r="B44" s="975"/>
      <c r="C44" s="92"/>
      <c r="D44" s="1116" t="s">
        <v>1525</v>
      </c>
      <c r="E44" s="1117"/>
      <c r="F44" s="1117"/>
      <c r="G44" s="1117"/>
      <c r="H44" s="1117"/>
      <c r="I44" s="1118"/>
      <c r="J44" s="5"/>
      <c r="K44" s="5"/>
    </row>
    <row r="45" spans="2:12" ht="15.75" thickBot="1" x14ac:dyDescent="0.3">
      <c r="B45" s="975"/>
      <c r="C45" s="92"/>
      <c r="D45" s="986"/>
      <c r="E45" s="987"/>
      <c r="F45" s="987"/>
      <c r="G45" s="987"/>
      <c r="H45" s="987"/>
      <c r="I45" s="988"/>
      <c r="J45" s="5"/>
      <c r="K45" s="5"/>
    </row>
    <row r="46" spans="2:12" ht="15.75" thickBot="1" x14ac:dyDescent="0.3">
      <c r="B46" s="975"/>
      <c r="C46" s="94"/>
      <c r="D46" s="43" t="s">
        <v>763</v>
      </c>
      <c r="E46" s="38" t="s">
        <v>587</v>
      </c>
      <c r="F46" s="38" t="s">
        <v>588</v>
      </c>
      <c r="G46" s="38" t="s">
        <v>589</v>
      </c>
      <c r="H46" s="38" t="s">
        <v>590</v>
      </c>
      <c r="I46" s="90" t="s">
        <v>764</v>
      </c>
      <c r="J46" s="5"/>
      <c r="K46" s="5"/>
    </row>
    <row r="47" spans="2:12" ht="36.75" thickBot="1" x14ac:dyDescent="0.3">
      <c r="B47" s="975"/>
      <c r="C47" s="94"/>
      <c r="D47" s="40" t="s">
        <v>1526</v>
      </c>
      <c r="E47" s="6">
        <v>1213</v>
      </c>
      <c r="F47" s="6"/>
      <c r="G47" s="6"/>
      <c r="H47" s="6"/>
      <c r="I47" s="144">
        <f>SUM(E47:H47)</f>
        <v>1213</v>
      </c>
      <c r="J47" s="5"/>
      <c r="K47" s="5"/>
    </row>
    <row r="48" spans="2:12" ht="36.75" thickBot="1" x14ac:dyDescent="0.3">
      <c r="B48" s="975"/>
      <c r="C48" s="94"/>
      <c r="D48" s="40" t="s">
        <v>1527</v>
      </c>
      <c r="E48" s="6">
        <v>12</v>
      </c>
      <c r="F48" s="6"/>
      <c r="G48" s="6"/>
      <c r="H48" s="6"/>
      <c r="I48" s="144">
        <f>SUM(E48:H48)</f>
        <v>12</v>
      </c>
      <c r="J48" s="5"/>
      <c r="K48" s="5"/>
    </row>
    <row r="49" spans="2:11" ht="36.75" thickBot="1" x14ac:dyDescent="0.3">
      <c r="B49" s="976"/>
      <c r="C49" s="2"/>
      <c r="D49" s="40" t="s">
        <v>1528</v>
      </c>
      <c r="E49" s="145">
        <f>+E47/E48</f>
        <v>101.08333333333333</v>
      </c>
      <c r="F49" s="145" t="e">
        <f>+F47/F48</f>
        <v>#DIV/0!</v>
      </c>
      <c r="G49" s="145" t="e">
        <f>+G47/G48</f>
        <v>#DIV/0!</v>
      </c>
      <c r="H49" s="145" t="e">
        <f>+H47/H48</f>
        <v>#DIV/0!</v>
      </c>
      <c r="I49" s="145">
        <f>+I47/I48</f>
        <v>101.08333333333333</v>
      </c>
      <c r="J49" s="5"/>
      <c r="K49" s="5"/>
    </row>
    <row r="50" spans="2:11" ht="15.75" thickBot="1" x14ac:dyDescent="0.3">
      <c r="C50"/>
      <c r="I50"/>
    </row>
    <row r="51" spans="2:11" ht="24.75" thickBot="1" x14ac:dyDescent="0.3">
      <c r="C51"/>
      <c r="D51" s="52" t="s">
        <v>1529</v>
      </c>
      <c r="E51" s="52" t="s">
        <v>1530</v>
      </c>
      <c r="F51" s="52" t="s">
        <v>1531</v>
      </c>
      <c r="G51" s="317" t="s">
        <v>1532</v>
      </c>
      <c r="I51"/>
    </row>
    <row r="52" spans="2:11" ht="15.75" thickBot="1" x14ac:dyDescent="0.3">
      <c r="C52"/>
      <c r="D52" s="52" t="str">
        <f>+D16</f>
        <v>Licencias ambientales</v>
      </c>
      <c r="E52" s="145">
        <f>+E21</f>
        <v>141.77777777777777</v>
      </c>
      <c r="F52" s="346">
        <v>90</v>
      </c>
      <c r="G52" s="185">
        <f>IF(F52/E52&gt;1,1,F52/E52)</f>
        <v>0.63479623824451414</v>
      </c>
      <c r="I52"/>
    </row>
    <row r="53" spans="2:11" ht="15.75" thickBot="1" x14ac:dyDescent="0.3">
      <c r="C53"/>
      <c r="D53" s="52" t="str">
        <f>+D23</f>
        <v>Concesiones de agua</v>
      </c>
      <c r="E53" s="145">
        <f>+E28</f>
        <v>192.54838709677421</v>
      </c>
      <c r="F53" s="346">
        <v>90</v>
      </c>
      <c r="G53" s="185">
        <f>IF(F53/E53&gt;1,1,F53/E53)</f>
        <v>0.46741497738314625</v>
      </c>
      <c r="I53"/>
    </row>
    <row r="54" spans="2:11" ht="15.75" thickBot="1" x14ac:dyDescent="0.3">
      <c r="C54"/>
      <c r="D54" s="52" t="str">
        <f>+D30</f>
        <v>Permisos de vertimiento de agua</v>
      </c>
      <c r="E54" s="145">
        <f>+E35</f>
        <v>176.125</v>
      </c>
      <c r="F54" s="346">
        <v>68</v>
      </c>
      <c r="G54" s="185">
        <f>IF(F54/E54&gt;1,1,F54/E54)</f>
        <v>0.38608942512420158</v>
      </c>
      <c r="I54"/>
    </row>
    <row r="55" spans="2:11" ht="15.75" thickBot="1" x14ac:dyDescent="0.3">
      <c r="C55"/>
      <c r="D55" s="52" t="str">
        <f>+D37</f>
        <v>Permisos de aprovechamiento forestal</v>
      </c>
      <c r="E55" s="145">
        <f>+E42</f>
        <v>198.66666666666666</v>
      </c>
      <c r="F55" s="346">
        <v>60</v>
      </c>
      <c r="G55" s="185">
        <f>IF(F55/E55&gt;1,1,F55/E55)</f>
        <v>0.30201342281879195</v>
      </c>
      <c r="I55"/>
    </row>
    <row r="56" spans="2:11" ht="15.75" thickBot="1" x14ac:dyDescent="0.3">
      <c r="C56"/>
      <c r="D56" s="52" t="str">
        <f>+D44</f>
        <v>Permisos de emisiones atmosféricas</v>
      </c>
      <c r="E56" s="145">
        <f>+E49</f>
        <v>101.08333333333333</v>
      </c>
      <c r="F56" s="346">
        <v>150</v>
      </c>
      <c r="G56" s="185">
        <f>IF(F56/E56&gt;1,1,F56/E56)</f>
        <v>1</v>
      </c>
      <c r="I56"/>
    </row>
    <row r="57" spans="2:11" ht="24.75" thickBot="1" x14ac:dyDescent="0.3">
      <c r="C57"/>
      <c r="D57" s="52" t="s">
        <v>1533</v>
      </c>
      <c r="E57" s="145">
        <f>AVERAGE(E52:E56)</f>
        <v>162.0402329749104</v>
      </c>
      <c r="F57" s="145">
        <f>AVERAGE(F52:F56)</f>
        <v>91.6</v>
      </c>
      <c r="G57" s="185">
        <f>AVERAGE(G52:G56)</f>
        <v>0.55806281271413083</v>
      </c>
      <c r="I57"/>
    </row>
    <row r="58" spans="2:11" x14ac:dyDescent="0.25">
      <c r="C58"/>
      <c r="I58"/>
    </row>
    <row r="59" spans="2:11" ht="15.75" thickBot="1" x14ac:dyDescent="0.3">
      <c r="C59"/>
      <c r="I59"/>
    </row>
    <row r="60" spans="2:11" ht="60" customHeight="1" thickBot="1" x14ac:dyDescent="0.3">
      <c r="B60" s="52" t="s">
        <v>671</v>
      </c>
      <c r="C60" s="203"/>
      <c r="D60" s="983" t="s">
        <v>1534</v>
      </c>
      <c r="E60" s="984"/>
      <c r="F60" s="984"/>
      <c r="G60" s="984"/>
      <c r="H60" s="984"/>
      <c r="I60" s="985"/>
      <c r="J60" s="5"/>
      <c r="K60" s="5"/>
    </row>
    <row r="61" spans="2:11" ht="36" customHeight="1" thickBot="1" x14ac:dyDescent="0.3">
      <c r="B61" s="47" t="s">
        <v>673</v>
      </c>
      <c r="C61" s="93"/>
      <c r="D61" s="983" t="s">
        <v>772</v>
      </c>
      <c r="E61" s="984"/>
      <c r="F61" s="984"/>
      <c r="G61" s="984"/>
      <c r="H61" s="984"/>
      <c r="I61" s="985"/>
      <c r="J61" s="5"/>
      <c r="K61" s="5"/>
    </row>
    <row r="62" spans="2:11" ht="15.75" thickBot="1" x14ac:dyDescent="0.3">
      <c r="B62" s="1"/>
      <c r="C62" s="76"/>
      <c r="D62" s="5"/>
      <c r="E62" s="5"/>
      <c r="F62" s="5"/>
      <c r="G62" s="5"/>
      <c r="H62" s="5"/>
      <c r="I62" s="87"/>
      <c r="J62" s="5"/>
      <c r="K62" s="5"/>
    </row>
    <row r="63" spans="2:11" ht="24" customHeight="1" thickBot="1" x14ac:dyDescent="0.3">
      <c r="B63" s="971" t="s">
        <v>675</v>
      </c>
      <c r="C63" s="972"/>
      <c r="D63" s="972"/>
      <c r="E63" s="973"/>
      <c r="F63" s="5"/>
      <c r="G63" s="5"/>
      <c r="H63" s="5"/>
      <c r="I63" s="87"/>
      <c r="J63" s="5"/>
      <c r="K63" s="5"/>
    </row>
    <row r="64" spans="2:11" ht="48.75" thickBot="1" x14ac:dyDescent="0.3">
      <c r="B64" s="974">
        <v>1</v>
      </c>
      <c r="C64" s="94"/>
      <c r="D64" s="48" t="s">
        <v>676</v>
      </c>
      <c r="E64" s="337" t="s">
        <v>2301</v>
      </c>
      <c r="F64" s="5"/>
      <c r="G64" s="5"/>
      <c r="H64" s="5"/>
      <c r="I64" s="87"/>
      <c r="J64" s="5"/>
      <c r="K64" s="5"/>
    </row>
    <row r="65" spans="2:11" ht="48.75" thickBot="1" x14ac:dyDescent="0.3">
      <c r="B65" s="975"/>
      <c r="C65" s="94"/>
      <c r="D65" s="40" t="s">
        <v>525</v>
      </c>
      <c r="E65" s="337" t="s">
        <v>2311</v>
      </c>
      <c r="F65" s="5"/>
      <c r="G65" s="5"/>
      <c r="H65" s="5"/>
      <c r="I65" s="87"/>
      <c r="J65" s="5"/>
      <c r="K65" s="5"/>
    </row>
    <row r="66" spans="2:11" ht="36.75" thickBot="1" x14ac:dyDescent="0.3">
      <c r="B66" s="975"/>
      <c r="C66" s="94"/>
      <c r="D66" s="40" t="s">
        <v>677</v>
      </c>
      <c r="E66" s="337" t="s">
        <v>2303</v>
      </c>
      <c r="F66" s="5"/>
      <c r="G66" s="5"/>
      <c r="H66" s="5"/>
      <c r="I66" s="87"/>
      <c r="J66" s="5"/>
      <c r="K66" s="5"/>
    </row>
    <row r="67" spans="2:11" ht="15.75" thickBot="1" x14ac:dyDescent="0.3">
      <c r="B67" s="975"/>
      <c r="C67" s="94"/>
      <c r="D67" s="40" t="s">
        <v>527</v>
      </c>
      <c r="E67" s="337" t="s">
        <v>2304</v>
      </c>
      <c r="F67" s="5"/>
      <c r="G67" s="5"/>
      <c r="H67" s="5"/>
      <c r="I67" s="87"/>
      <c r="J67" s="5"/>
      <c r="K67" s="5"/>
    </row>
    <row r="68" spans="2:11" ht="60.75" thickBot="1" x14ac:dyDescent="0.3">
      <c r="B68" s="975"/>
      <c r="C68" s="94"/>
      <c r="D68" s="40" t="s">
        <v>529</v>
      </c>
      <c r="E68" s="766" t="s">
        <v>2309</v>
      </c>
      <c r="F68" s="5"/>
      <c r="G68" s="5"/>
      <c r="H68" s="5"/>
      <c r="I68" s="87"/>
      <c r="J68" s="5"/>
      <c r="K68" s="5"/>
    </row>
    <row r="69" spans="2:11" ht="15.75" thickBot="1" x14ac:dyDescent="0.3">
      <c r="B69" s="975"/>
      <c r="C69" s="94"/>
      <c r="D69" s="40" t="s">
        <v>531</v>
      </c>
      <c r="E69" s="337">
        <v>5748960</v>
      </c>
      <c r="F69" s="5"/>
      <c r="G69" s="5"/>
      <c r="H69" s="5"/>
      <c r="I69" s="87"/>
      <c r="J69" s="5"/>
      <c r="K69" s="5"/>
    </row>
    <row r="70" spans="2:11" ht="60.75" thickBot="1" x14ac:dyDescent="0.3">
      <c r="B70" s="976"/>
      <c r="C70" s="2"/>
      <c r="D70" s="40" t="s">
        <v>678</v>
      </c>
      <c r="E70" s="337" t="s">
        <v>2312</v>
      </c>
      <c r="F70" s="5"/>
      <c r="G70" s="5"/>
      <c r="H70" s="5"/>
      <c r="I70" s="87"/>
      <c r="J70" s="5"/>
      <c r="K70" s="5"/>
    </row>
    <row r="71" spans="2:11" ht="15.75" thickBot="1" x14ac:dyDescent="0.3">
      <c r="B71" s="1"/>
      <c r="C71" s="76"/>
      <c r="D71" s="5"/>
      <c r="E71" s="5"/>
      <c r="F71" s="5"/>
      <c r="G71" s="5"/>
      <c r="H71" s="5"/>
      <c r="I71" s="87"/>
      <c r="J71" s="5"/>
      <c r="K71" s="5"/>
    </row>
    <row r="72" spans="2:11" ht="15.75" thickBot="1" x14ac:dyDescent="0.3">
      <c r="B72" s="971" t="s">
        <v>679</v>
      </c>
      <c r="C72" s="972"/>
      <c r="D72" s="972"/>
      <c r="E72" s="973"/>
      <c r="F72" s="5"/>
      <c r="G72" s="5"/>
      <c r="H72" s="5"/>
      <c r="I72" s="87"/>
      <c r="J72" s="5"/>
      <c r="K72" s="5"/>
    </row>
    <row r="73" spans="2:11" ht="15.75" thickBot="1" x14ac:dyDescent="0.3">
      <c r="B73" s="974">
        <v>1</v>
      </c>
      <c r="C73" s="94"/>
      <c r="D73" s="48" t="s">
        <v>676</v>
      </c>
      <c r="E73" s="126" t="s">
        <v>680</v>
      </c>
      <c r="F73" s="5"/>
      <c r="G73" s="5"/>
      <c r="H73" s="5"/>
      <c r="I73" s="87"/>
      <c r="J73" s="5"/>
      <c r="K73" s="5"/>
    </row>
    <row r="74" spans="2:11" ht="15.75" thickBot="1" x14ac:dyDescent="0.3">
      <c r="B74" s="975"/>
      <c r="C74" s="94"/>
      <c r="D74" s="40" t="s">
        <v>525</v>
      </c>
      <c r="E74" s="126" t="s">
        <v>773</v>
      </c>
      <c r="F74" s="5"/>
      <c r="G74" s="5"/>
      <c r="H74" s="5"/>
      <c r="I74" s="87"/>
      <c r="J74" s="5"/>
      <c r="K74" s="5"/>
    </row>
    <row r="75" spans="2:11" ht="15.75" thickBot="1" x14ac:dyDescent="0.3">
      <c r="B75" s="975"/>
      <c r="C75" s="94"/>
      <c r="D75" s="40" t="s">
        <v>677</v>
      </c>
      <c r="E75" s="169"/>
      <c r="F75" s="5"/>
      <c r="G75" s="5"/>
      <c r="H75" s="5"/>
      <c r="I75" s="87"/>
      <c r="J75" s="5"/>
      <c r="K75" s="5"/>
    </row>
    <row r="76" spans="2:11" ht="15.75" thickBot="1" x14ac:dyDescent="0.3">
      <c r="B76" s="975"/>
      <c r="C76" s="94"/>
      <c r="D76" s="40" t="s">
        <v>527</v>
      </c>
      <c r="E76" s="169"/>
      <c r="F76" s="5"/>
      <c r="G76" s="5"/>
      <c r="H76" s="5"/>
      <c r="I76" s="87"/>
      <c r="J76" s="5"/>
      <c r="K76" s="5"/>
    </row>
    <row r="77" spans="2:11" ht="15.75" thickBot="1" x14ac:dyDescent="0.3">
      <c r="B77" s="975"/>
      <c r="C77" s="94"/>
      <c r="D77" s="40" t="s">
        <v>529</v>
      </c>
      <c r="E77" s="169"/>
      <c r="F77" s="5"/>
      <c r="G77" s="5"/>
      <c r="H77" s="5"/>
      <c r="I77" s="87"/>
      <c r="J77" s="5"/>
      <c r="K77" s="5"/>
    </row>
    <row r="78" spans="2:11" ht="15.75" thickBot="1" x14ac:dyDescent="0.3">
      <c r="B78" s="975"/>
      <c r="C78" s="94"/>
      <c r="D78" s="40" t="s">
        <v>531</v>
      </c>
      <c r="E78" s="169"/>
      <c r="F78" s="5"/>
      <c r="G78" s="5"/>
      <c r="H78" s="5"/>
      <c r="I78" s="87"/>
      <c r="J78" s="5"/>
      <c r="K78" s="5"/>
    </row>
    <row r="79" spans="2:11" ht="15.75" thickBot="1" x14ac:dyDescent="0.3">
      <c r="B79" s="976"/>
      <c r="C79" s="2"/>
      <c r="D79" s="40" t="s">
        <v>678</v>
      </c>
      <c r="E79" s="169"/>
      <c r="F79" s="5"/>
      <c r="G79" s="5"/>
      <c r="H79" s="5"/>
      <c r="I79" s="87"/>
      <c r="J79" s="5"/>
      <c r="K79" s="5"/>
    </row>
    <row r="80" spans="2:11" ht="15.75" thickBot="1" x14ac:dyDescent="0.3">
      <c r="B80" s="1"/>
      <c r="C80" s="76"/>
      <c r="D80" s="5"/>
      <c r="E80" s="5"/>
      <c r="F80" s="5"/>
      <c r="G80" s="5"/>
      <c r="H80" s="5"/>
      <c r="I80" s="87"/>
      <c r="J80" s="5"/>
      <c r="K80" s="5"/>
    </row>
    <row r="81" spans="2:11" ht="15" customHeight="1" thickBot="1" x14ac:dyDescent="0.3">
      <c r="B81" s="119" t="s">
        <v>682</v>
      </c>
      <c r="C81" s="120"/>
      <c r="D81" s="120"/>
      <c r="E81" s="121"/>
      <c r="G81" s="5"/>
      <c r="H81" s="5"/>
      <c r="I81" s="87"/>
      <c r="J81" s="5"/>
      <c r="K81" s="5"/>
    </row>
    <row r="82" spans="2:11" ht="24.75" thickBot="1" x14ac:dyDescent="0.3">
      <c r="B82" s="47" t="s">
        <v>683</v>
      </c>
      <c r="C82" s="40" t="s">
        <v>684</v>
      </c>
      <c r="D82" s="40" t="s">
        <v>685</v>
      </c>
      <c r="E82" s="40" t="s">
        <v>686</v>
      </c>
      <c r="F82" s="5"/>
      <c r="G82" s="5"/>
      <c r="H82" s="5"/>
      <c r="I82" s="87"/>
      <c r="J82" s="5"/>
    </row>
    <row r="83" spans="2:11" ht="72.75" thickBot="1" x14ac:dyDescent="0.3">
      <c r="B83" s="49">
        <v>42401</v>
      </c>
      <c r="C83" s="40">
        <v>0.01</v>
      </c>
      <c r="D83" s="50" t="s">
        <v>1535</v>
      </c>
      <c r="E83" s="40"/>
      <c r="F83" s="5"/>
      <c r="G83" s="5"/>
      <c r="H83" s="5"/>
      <c r="I83" s="87"/>
      <c r="J83" s="5"/>
    </row>
    <row r="84" spans="2:11" ht="15.75" thickBot="1" x14ac:dyDescent="0.3">
      <c r="B84" s="1"/>
      <c r="C84" s="76"/>
      <c r="D84" s="5"/>
      <c r="E84" s="5"/>
      <c r="F84" s="5"/>
      <c r="G84" s="5"/>
      <c r="H84" s="5"/>
      <c r="I84" s="87"/>
      <c r="J84" s="5"/>
      <c r="K84" s="5"/>
    </row>
    <row r="85" spans="2:11" ht="15.75" thickBot="1" x14ac:dyDescent="0.3">
      <c r="B85" s="129" t="s">
        <v>593</v>
      </c>
      <c r="C85" s="96"/>
      <c r="D85" s="5"/>
      <c r="E85" s="5"/>
      <c r="F85" s="5"/>
      <c r="G85" s="5"/>
      <c r="H85" s="5"/>
      <c r="I85" s="87"/>
      <c r="J85" s="5"/>
      <c r="K85" s="5"/>
    </row>
    <row r="86" spans="2:11" x14ac:dyDescent="0.25">
      <c r="B86" s="1150"/>
      <c r="C86" s="1151"/>
      <c r="D86" s="1152"/>
      <c r="E86" s="5"/>
      <c r="F86" s="5"/>
      <c r="G86" s="5"/>
      <c r="H86" s="5"/>
      <c r="I86" s="87"/>
      <c r="J86" s="5"/>
      <c r="K86" s="5"/>
    </row>
    <row r="87" spans="2:11" ht="15.75" thickBot="1" x14ac:dyDescent="0.3">
      <c r="B87" s="1153"/>
      <c r="C87" s="1154"/>
      <c r="D87" s="1155"/>
      <c r="E87" s="5"/>
      <c r="F87" s="5"/>
      <c r="G87" s="5"/>
      <c r="H87" s="5"/>
      <c r="I87" s="87"/>
      <c r="J87" s="5"/>
      <c r="K87" s="5"/>
    </row>
    <row r="88" spans="2:11" ht="15.75" thickBot="1" x14ac:dyDescent="0.3">
      <c r="B88" s="5"/>
      <c r="D88" s="5"/>
      <c r="E88" s="5"/>
      <c r="F88" s="5"/>
      <c r="G88" s="5"/>
      <c r="H88" s="5"/>
      <c r="I88" s="87"/>
      <c r="J88" s="5"/>
      <c r="K88" s="5"/>
    </row>
    <row r="89" spans="2:11" ht="24.75" thickBot="1" x14ac:dyDescent="0.3">
      <c r="B89" s="51" t="s">
        <v>688</v>
      </c>
      <c r="C89" s="97"/>
      <c r="D89" s="5"/>
      <c r="E89" s="5"/>
      <c r="F89" s="5"/>
      <c r="G89" s="5"/>
      <c r="H89" s="5"/>
      <c r="I89" s="87"/>
      <c r="J89" s="5"/>
      <c r="K89" s="5"/>
    </row>
    <row r="90" spans="2:11" ht="15.75" thickBot="1" x14ac:dyDescent="0.3">
      <c r="B90" s="1"/>
      <c r="C90" s="76"/>
      <c r="D90" s="5"/>
      <c r="E90" s="5"/>
      <c r="F90" s="5"/>
      <c r="G90" s="5"/>
      <c r="H90" s="5"/>
      <c r="I90" s="87"/>
      <c r="J90" s="5"/>
      <c r="K90" s="5"/>
    </row>
    <row r="91" spans="2:11" ht="144" x14ac:dyDescent="0.25">
      <c r="B91" s="974" t="s">
        <v>689</v>
      </c>
      <c r="C91" s="105"/>
      <c r="D91" s="63" t="s">
        <v>1536</v>
      </c>
      <c r="E91" s="5"/>
      <c r="F91" s="5"/>
      <c r="G91" s="5"/>
      <c r="H91" s="5"/>
      <c r="I91" s="87"/>
      <c r="J91" s="5"/>
      <c r="K91" s="5"/>
    </row>
    <row r="92" spans="2:11" ht="120.75" thickBot="1" x14ac:dyDescent="0.3">
      <c r="B92" s="976"/>
      <c r="C92" s="2"/>
      <c r="D92" s="40" t="s">
        <v>1537</v>
      </c>
      <c r="E92" s="5"/>
      <c r="F92" s="5"/>
      <c r="G92" s="5"/>
      <c r="H92" s="5"/>
      <c r="I92" s="87"/>
      <c r="J92" s="5"/>
      <c r="K92" s="5"/>
    </row>
    <row r="93" spans="2:11" x14ac:dyDescent="0.25">
      <c r="B93" s="974" t="s">
        <v>691</v>
      </c>
      <c r="C93" s="94"/>
      <c r="D93" s="53" t="s">
        <v>692</v>
      </c>
      <c r="E93" s="5"/>
      <c r="F93" s="5"/>
      <c r="G93" s="5"/>
      <c r="H93" s="5"/>
      <c r="I93" s="87"/>
      <c r="J93" s="5"/>
      <c r="K93" s="5"/>
    </row>
    <row r="94" spans="2:11" ht="108" x14ac:dyDescent="0.25">
      <c r="B94" s="975"/>
      <c r="C94" s="94"/>
      <c r="D94" s="46" t="s">
        <v>1538</v>
      </c>
      <c r="E94" s="5"/>
      <c r="F94" s="5"/>
      <c r="G94" s="5"/>
      <c r="H94" s="5"/>
      <c r="I94" s="87"/>
      <c r="J94" s="5"/>
      <c r="K94" s="5"/>
    </row>
    <row r="95" spans="2:11" x14ac:dyDescent="0.25">
      <c r="B95" s="975"/>
      <c r="C95" s="94"/>
      <c r="D95" s="53" t="s">
        <v>777</v>
      </c>
      <c r="E95" s="5"/>
      <c r="F95" s="5"/>
      <c r="G95" s="5"/>
      <c r="H95" s="5"/>
      <c r="I95" s="87"/>
      <c r="J95" s="5"/>
      <c r="K95" s="5"/>
    </row>
    <row r="96" spans="2:11" x14ac:dyDescent="0.25">
      <c r="B96" s="975"/>
      <c r="C96" s="94"/>
      <c r="D96" s="46" t="s">
        <v>696</v>
      </c>
      <c r="E96" s="5"/>
      <c r="F96" s="5"/>
      <c r="G96" s="5"/>
      <c r="H96" s="5"/>
      <c r="I96" s="87"/>
      <c r="J96" s="5"/>
      <c r="K96" s="5"/>
    </row>
    <row r="97" spans="2:11" x14ac:dyDescent="0.25">
      <c r="B97" s="975"/>
      <c r="C97" s="94"/>
      <c r="D97" s="46" t="s">
        <v>697</v>
      </c>
      <c r="E97" s="5"/>
      <c r="F97" s="5"/>
      <c r="G97" s="5"/>
      <c r="H97" s="5"/>
      <c r="I97" s="87"/>
      <c r="J97" s="5"/>
      <c r="K97" s="5"/>
    </row>
    <row r="98" spans="2:11" x14ac:dyDescent="0.25">
      <c r="B98" s="975"/>
      <c r="C98" s="94"/>
      <c r="D98" s="46" t="s">
        <v>1539</v>
      </c>
      <c r="E98" s="5"/>
      <c r="F98" s="5"/>
      <c r="G98" s="5"/>
      <c r="H98" s="5"/>
      <c r="I98" s="87"/>
      <c r="J98" s="5"/>
      <c r="K98" s="5"/>
    </row>
    <row r="99" spans="2:11" ht="24" x14ac:dyDescent="0.25">
      <c r="B99" s="975"/>
      <c r="C99" s="94"/>
      <c r="D99" s="46" t="s">
        <v>1540</v>
      </c>
      <c r="E99" s="5"/>
      <c r="F99" s="5"/>
      <c r="G99" s="5"/>
      <c r="H99" s="5"/>
      <c r="I99" s="87"/>
      <c r="J99" s="5"/>
      <c r="K99" s="5"/>
    </row>
    <row r="100" spans="2:11" ht="24" x14ac:dyDescent="0.25">
      <c r="B100" s="975"/>
      <c r="C100" s="94"/>
      <c r="D100" s="46" t="s">
        <v>1541</v>
      </c>
      <c r="E100" s="5"/>
      <c r="F100" s="5"/>
      <c r="G100" s="5"/>
      <c r="H100" s="5"/>
      <c r="I100" s="87"/>
      <c r="J100" s="5"/>
      <c r="K100" s="5"/>
    </row>
    <row r="101" spans="2:11" ht="24" x14ac:dyDescent="0.25">
      <c r="B101" s="975"/>
      <c r="C101" s="94"/>
      <c r="D101" s="46" t="s">
        <v>1542</v>
      </c>
      <c r="E101" s="5"/>
      <c r="F101" s="5"/>
      <c r="G101" s="5"/>
      <c r="H101" s="5"/>
      <c r="I101" s="87"/>
      <c r="J101" s="5"/>
      <c r="K101" s="5"/>
    </row>
    <row r="102" spans="2:11" ht="48" x14ac:dyDescent="0.25">
      <c r="B102" s="975"/>
      <c r="C102" s="94"/>
      <c r="D102" s="46" t="s">
        <v>1543</v>
      </c>
      <c r="E102" s="5"/>
      <c r="F102" s="5"/>
      <c r="G102" s="5"/>
      <c r="H102" s="5"/>
      <c r="I102" s="87"/>
      <c r="J102" s="5"/>
      <c r="K102" s="5"/>
    </row>
    <row r="103" spans="2:11" ht="36.75" thickBot="1" x14ac:dyDescent="0.3">
      <c r="B103" s="976"/>
      <c r="C103" s="2"/>
      <c r="D103" s="40" t="s">
        <v>1544</v>
      </c>
      <c r="E103" s="5"/>
      <c r="F103" s="5"/>
      <c r="G103" s="5"/>
      <c r="H103" s="5"/>
      <c r="I103" s="87"/>
      <c r="J103" s="5"/>
      <c r="K103" s="5"/>
    </row>
    <row r="104" spans="2:11" ht="24.75" thickBot="1" x14ac:dyDescent="0.3">
      <c r="B104" s="47" t="s">
        <v>704</v>
      </c>
      <c r="C104" s="2"/>
      <c r="D104" s="40"/>
      <c r="E104" s="5"/>
      <c r="F104" s="5"/>
      <c r="G104" s="5"/>
      <c r="H104" s="5"/>
      <c r="I104" s="87"/>
      <c r="J104" s="5"/>
      <c r="K104" s="5"/>
    </row>
    <row r="105" spans="2:11" ht="252" x14ac:dyDescent="0.25">
      <c r="B105" s="974" t="s">
        <v>705</v>
      </c>
      <c r="C105" s="94"/>
      <c r="D105" s="46" t="s">
        <v>1545</v>
      </c>
      <c r="E105" s="5"/>
      <c r="F105" s="5"/>
      <c r="G105" s="5"/>
      <c r="H105" s="5"/>
      <c r="I105" s="87"/>
      <c r="J105" s="5"/>
      <c r="K105" s="5"/>
    </row>
    <row r="106" spans="2:11" ht="72" x14ac:dyDescent="0.25">
      <c r="B106" s="975"/>
      <c r="C106" s="94"/>
      <c r="D106" s="46" t="s">
        <v>1546</v>
      </c>
      <c r="E106" s="5"/>
      <c r="F106" s="5"/>
      <c r="G106" s="5"/>
      <c r="H106" s="5"/>
      <c r="I106" s="87"/>
      <c r="J106" s="5"/>
      <c r="K106" s="5"/>
    </row>
    <row r="107" spans="2:11" ht="72" x14ac:dyDescent="0.25">
      <c r="B107" s="975"/>
      <c r="C107" s="94"/>
      <c r="D107" s="46" t="s">
        <v>1547</v>
      </c>
      <c r="E107" s="5"/>
      <c r="F107" s="5"/>
      <c r="G107" s="5"/>
      <c r="H107" s="5"/>
      <c r="I107" s="87"/>
      <c r="J107" s="5"/>
      <c r="K107" s="5"/>
    </row>
    <row r="108" spans="2:11" ht="156" x14ac:dyDescent="0.25">
      <c r="B108" s="975"/>
      <c r="C108" s="94"/>
      <c r="D108" s="46" t="s">
        <v>1548</v>
      </c>
      <c r="E108" s="5"/>
      <c r="F108" s="5"/>
      <c r="G108" s="5"/>
      <c r="H108" s="5"/>
      <c r="I108" s="87"/>
      <c r="J108" s="5"/>
      <c r="K108" s="5"/>
    </row>
    <row r="109" spans="2:11" ht="168" x14ac:dyDescent="0.25">
      <c r="B109" s="975"/>
      <c r="C109" s="94"/>
      <c r="D109" s="46" t="s">
        <v>1549</v>
      </c>
      <c r="E109" s="5"/>
      <c r="F109" s="5"/>
      <c r="G109" s="5"/>
      <c r="H109" s="5"/>
      <c r="I109" s="87"/>
      <c r="J109" s="5"/>
      <c r="K109" s="5"/>
    </row>
    <row r="110" spans="2:11" ht="108" x14ac:dyDescent="0.25">
      <c r="B110" s="975"/>
      <c r="C110" s="94"/>
      <c r="D110" s="46" t="s">
        <v>1550</v>
      </c>
      <c r="E110" s="5"/>
      <c r="F110" s="5"/>
      <c r="G110" s="5"/>
      <c r="H110" s="5"/>
      <c r="I110" s="87"/>
      <c r="J110" s="5"/>
      <c r="K110" s="5"/>
    </row>
    <row r="111" spans="2:11" ht="60.75" thickBot="1" x14ac:dyDescent="0.3">
      <c r="B111" s="976"/>
      <c r="C111" s="2"/>
      <c r="D111" s="40" t="s">
        <v>1551</v>
      </c>
      <c r="E111" s="5"/>
      <c r="F111" s="5"/>
      <c r="G111" s="5"/>
      <c r="H111" s="5"/>
      <c r="I111" s="87"/>
      <c r="J111" s="5"/>
      <c r="K111" s="5"/>
    </row>
    <row r="112" spans="2:11" ht="36" x14ac:dyDescent="0.25">
      <c r="B112" s="974" t="s">
        <v>722</v>
      </c>
      <c r="C112" s="94"/>
      <c r="D112" s="53" t="s">
        <v>30</v>
      </c>
      <c r="E112" s="5"/>
      <c r="F112" s="5"/>
      <c r="G112" s="5"/>
      <c r="H112" s="5"/>
      <c r="I112" s="87"/>
      <c r="J112" s="5"/>
      <c r="K112" s="5"/>
    </row>
    <row r="113" spans="2:11" x14ac:dyDescent="0.25">
      <c r="B113" s="975"/>
      <c r="C113" s="94"/>
      <c r="D113" s="16"/>
      <c r="E113" s="5"/>
      <c r="F113" s="5"/>
      <c r="G113" s="5"/>
      <c r="H113" s="5"/>
      <c r="I113" s="87"/>
      <c r="J113" s="5"/>
      <c r="K113" s="5"/>
    </row>
    <row r="114" spans="2:11" x14ac:dyDescent="0.25">
      <c r="B114" s="975"/>
      <c r="C114" s="94"/>
      <c r="D114" s="46" t="s">
        <v>723</v>
      </c>
      <c r="E114" s="5"/>
      <c r="F114" s="5"/>
      <c r="G114" s="5"/>
      <c r="H114" s="5"/>
      <c r="I114" s="87"/>
      <c r="J114" s="5"/>
      <c r="K114" s="5"/>
    </row>
    <row r="115" spans="2:11" ht="24" x14ac:dyDescent="0.25">
      <c r="B115" s="975"/>
      <c r="C115" s="94"/>
      <c r="D115" s="46" t="s">
        <v>1552</v>
      </c>
      <c r="E115" s="5"/>
      <c r="F115" s="5"/>
      <c r="G115" s="5"/>
      <c r="H115" s="5"/>
      <c r="I115" s="87"/>
      <c r="J115" s="5"/>
      <c r="K115" s="5"/>
    </row>
    <row r="116" spans="2:11" ht="24" x14ac:dyDescent="0.25">
      <c r="B116" s="975"/>
      <c r="C116" s="94"/>
      <c r="D116" s="46" t="s">
        <v>1553</v>
      </c>
      <c r="E116" s="5"/>
      <c r="F116" s="5"/>
      <c r="G116" s="5"/>
      <c r="H116" s="5"/>
      <c r="I116" s="87"/>
      <c r="J116" s="5"/>
      <c r="K116" s="5"/>
    </row>
    <row r="117" spans="2:11" ht="60" x14ac:dyDescent="0.25">
      <c r="B117" s="975"/>
      <c r="C117" s="94"/>
      <c r="D117" s="46" t="s">
        <v>1554</v>
      </c>
      <c r="E117" s="5"/>
      <c r="F117" s="5"/>
      <c r="G117" s="5"/>
      <c r="H117" s="5"/>
      <c r="I117" s="87"/>
      <c r="J117" s="5"/>
      <c r="K117" s="5"/>
    </row>
    <row r="118" spans="2:11" ht="60" x14ac:dyDescent="0.25">
      <c r="B118" s="975"/>
      <c r="C118" s="94"/>
      <c r="D118" s="46" t="s">
        <v>1555</v>
      </c>
      <c r="E118" s="5"/>
      <c r="F118" s="5"/>
      <c r="G118" s="5"/>
      <c r="H118" s="5"/>
      <c r="I118" s="87"/>
      <c r="J118" s="5"/>
      <c r="K118" s="5"/>
    </row>
    <row r="119" spans="2:11" ht="60" x14ac:dyDescent="0.25">
      <c r="B119" s="975"/>
      <c r="C119" s="94"/>
      <c r="D119" s="58" t="s">
        <v>1556</v>
      </c>
      <c r="E119" s="5"/>
      <c r="F119" s="5"/>
      <c r="G119" s="5"/>
      <c r="H119" s="5"/>
      <c r="I119" s="87"/>
      <c r="J119" s="5"/>
      <c r="K119" s="5"/>
    </row>
    <row r="120" spans="2:11" ht="36" x14ac:dyDescent="0.25">
      <c r="B120" s="975"/>
      <c r="C120" s="94"/>
      <c r="D120" s="46" t="s">
        <v>1557</v>
      </c>
      <c r="E120" s="5"/>
      <c r="F120" s="5"/>
      <c r="G120" s="5"/>
      <c r="H120" s="5"/>
      <c r="I120" s="87"/>
      <c r="J120" s="5"/>
      <c r="K120" s="5"/>
    </row>
    <row r="121" spans="2:11" ht="36" x14ac:dyDescent="0.25">
      <c r="B121" s="975"/>
      <c r="C121" s="94"/>
      <c r="D121" s="46" t="s">
        <v>1558</v>
      </c>
      <c r="E121" s="5"/>
      <c r="F121" s="5"/>
      <c r="G121" s="5"/>
      <c r="H121" s="5"/>
      <c r="I121" s="87"/>
      <c r="J121" s="5"/>
      <c r="K121" s="5"/>
    </row>
    <row r="122" spans="2:11" ht="36" x14ac:dyDescent="0.25">
      <c r="B122" s="975"/>
      <c r="C122" s="94"/>
      <c r="D122" s="46" t="s">
        <v>1559</v>
      </c>
      <c r="E122" s="5"/>
      <c r="F122" s="5"/>
      <c r="G122" s="5"/>
      <c r="H122" s="5"/>
      <c r="I122" s="87"/>
      <c r="J122" s="5"/>
      <c r="K122" s="5"/>
    </row>
    <row r="123" spans="2:11" ht="36" x14ac:dyDescent="0.25">
      <c r="B123" s="975"/>
      <c r="C123" s="94"/>
      <c r="D123" s="46" t="s">
        <v>1560</v>
      </c>
      <c r="E123" s="5"/>
      <c r="F123" s="5"/>
      <c r="G123" s="5"/>
      <c r="H123" s="5"/>
      <c r="I123" s="87"/>
      <c r="J123" s="5"/>
      <c r="K123" s="5"/>
    </row>
    <row r="124" spans="2:11" ht="36.75" thickBot="1" x14ac:dyDescent="0.3">
      <c r="B124" s="976"/>
      <c r="C124" s="2"/>
      <c r="D124" s="40" t="s">
        <v>1561</v>
      </c>
      <c r="E124" s="5"/>
      <c r="F124" s="5"/>
      <c r="G124" s="5"/>
      <c r="H124" s="5"/>
      <c r="I124" s="87"/>
      <c r="J124" s="5"/>
      <c r="K124" s="5"/>
    </row>
    <row r="125" spans="2:11" x14ac:dyDescent="0.25">
      <c r="B125" s="5"/>
      <c r="D125" s="5"/>
      <c r="E125" s="5"/>
      <c r="F125" s="5"/>
      <c r="G125" s="5"/>
      <c r="H125" s="5"/>
      <c r="I125" s="87"/>
      <c r="J125" s="5"/>
      <c r="K125" s="5"/>
    </row>
    <row r="126" spans="2:11" x14ac:dyDescent="0.25">
      <c r="B126" s="5"/>
      <c r="D126" s="5"/>
      <c r="E126" s="5"/>
      <c r="F126" s="5"/>
      <c r="G126" s="5"/>
      <c r="H126" s="5"/>
      <c r="I126" s="87"/>
      <c r="J126" s="5"/>
      <c r="K126" s="5"/>
    </row>
    <row r="127" spans="2:11" x14ac:dyDescent="0.25">
      <c r="B127" s="5"/>
      <c r="D127" s="5"/>
      <c r="E127" s="5"/>
      <c r="F127" s="5"/>
      <c r="G127" s="5"/>
      <c r="H127" s="5"/>
      <c r="I127" s="87"/>
      <c r="J127" s="5"/>
      <c r="K127" s="5"/>
    </row>
    <row r="128" spans="2:11" x14ac:dyDescent="0.25">
      <c r="B128" s="5"/>
      <c r="D128" s="5"/>
      <c r="E128" s="5"/>
      <c r="F128" s="5"/>
      <c r="G128" s="5"/>
      <c r="H128" s="5"/>
      <c r="I128" s="87"/>
      <c r="J128" s="5"/>
      <c r="K128" s="5"/>
    </row>
    <row r="129" spans="2:11" x14ac:dyDescent="0.25">
      <c r="B129" s="5"/>
      <c r="D129" s="5"/>
      <c r="E129" s="5"/>
      <c r="F129" s="5"/>
      <c r="G129" s="5"/>
      <c r="H129" s="5"/>
      <c r="I129" s="87"/>
      <c r="J129" s="5"/>
      <c r="K129" s="5"/>
    </row>
    <row r="130" spans="2:11" x14ac:dyDescent="0.25">
      <c r="B130" s="5"/>
      <c r="D130" s="5"/>
      <c r="E130" s="5"/>
      <c r="F130" s="5"/>
      <c r="G130" s="5"/>
      <c r="H130" s="5"/>
      <c r="I130" s="87"/>
      <c r="J130" s="5"/>
      <c r="K130" s="5"/>
    </row>
    <row r="131" spans="2:11" x14ac:dyDescent="0.25">
      <c r="B131" s="5"/>
      <c r="D131" s="5"/>
      <c r="E131" s="5"/>
      <c r="F131" s="5"/>
      <c r="G131" s="5"/>
      <c r="H131" s="5"/>
      <c r="I131" s="87"/>
      <c r="J131" s="5"/>
      <c r="K131" s="5"/>
    </row>
    <row r="132" spans="2:11" x14ac:dyDescent="0.25">
      <c r="B132" s="5"/>
      <c r="D132" s="5"/>
      <c r="E132" s="5"/>
      <c r="F132" s="5"/>
      <c r="G132" s="5"/>
      <c r="H132" s="5"/>
      <c r="I132" s="87"/>
      <c r="J132" s="5"/>
      <c r="K132" s="5"/>
    </row>
    <row r="133" spans="2:11" x14ac:dyDescent="0.25">
      <c r="B133" s="5"/>
      <c r="D133" s="5"/>
      <c r="E133" s="5"/>
      <c r="F133" s="5"/>
      <c r="G133" s="5"/>
      <c r="H133" s="5"/>
      <c r="I133" s="87"/>
      <c r="J133" s="5"/>
      <c r="K133" s="5"/>
    </row>
    <row r="134" spans="2:11" x14ac:dyDescent="0.25">
      <c r="B134" s="5"/>
      <c r="D134" s="5"/>
      <c r="E134" s="5"/>
      <c r="F134" s="5"/>
      <c r="G134" s="5"/>
      <c r="H134" s="5"/>
      <c r="I134" s="87"/>
      <c r="J134" s="5"/>
      <c r="K134" s="5"/>
    </row>
    <row r="135" spans="2:11" x14ac:dyDescent="0.25">
      <c r="B135" s="5"/>
      <c r="D135" s="5"/>
      <c r="E135" s="5"/>
      <c r="F135" s="5"/>
      <c r="G135" s="5"/>
      <c r="H135" s="5"/>
      <c r="I135" s="87"/>
      <c r="J135" s="5"/>
      <c r="K135" s="5"/>
    </row>
    <row r="136" spans="2:11" x14ac:dyDescent="0.25">
      <c r="B136" s="5"/>
      <c r="D136" s="5"/>
      <c r="E136" s="5"/>
      <c r="F136" s="5"/>
      <c r="G136" s="5"/>
      <c r="H136" s="5"/>
      <c r="I136" s="87"/>
      <c r="J136" s="5"/>
      <c r="K136" s="5"/>
    </row>
    <row r="137" spans="2:11" x14ac:dyDescent="0.25">
      <c r="B137" s="5"/>
      <c r="D137" s="5"/>
      <c r="E137" s="5"/>
      <c r="F137" s="5"/>
      <c r="G137" s="5"/>
      <c r="H137" s="5"/>
      <c r="I137" s="87"/>
      <c r="J137" s="5"/>
      <c r="K137" s="5"/>
    </row>
    <row r="138" spans="2:11" x14ac:dyDescent="0.25">
      <c r="B138" s="5"/>
      <c r="D138" s="5"/>
      <c r="E138" s="5"/>
      <c r="F138" s="5"/>
      <c r="G138" s="5"/>
      <c r="H138" s="5"/>
      <c r="I138" s="87"/>
      <c r="J138" s="5"/>
      <c r="K138" s="5"/>
    </row>
    <row r="139" spans="2:11" x14ac:dyDescent="0.25">
      <c r="B139" s="5"/>
      <c r="D139" s="5"/>
      <c r="E139" s="5"/>
      <c r="F139" s="5"/>
      <c r="G139" s="5"/>
      <c r="H139" s="5"/>
      <c r="I139" s="87"/>
      <c r="J139" s="5"/>
      <c r="K139" s="5"/>
    </row>
    <row r="140" spans="2:11" x14ac:dyDescent="0.25">
      <c r="B140" s="5"/>
      <c r="D140" s="5"/>
      <c r="E140" s="5"/>
      <c r="F140" s="5"/>
      <c r="G140" s="5"/>
      <c r="H140" s="5"/>
      <c r="I140" s="87"/>
      <c r="J140" s="5"/>
      <c r="K140" s="5"/>
    </row>
    <row r="141" spans="2:11" x14ac:dyDescent="0.25">
      <c r="B141" s="5"/>
      <c r="D141" s="5"/>
      <c r="E141" s="5"/>
      <c r="F141" s="5"/>
      <c r="G141" s="5"/>
      <c r="H141" s="5"/>
      <c r="I141" s="87"/>
      <c r="J141" s="5"/>
      <c r="K141" s="5"/>
    </row>
    <row r="142" spans="2:11" x14ac:dyDescent="0.25">
      <c r="B142" s="5"/>
      <c r="D142" s="5"/>
      <c r="E142" s="5"/>
      <c r="F142" s="5"/>
      <c r="G142" s="5"/>
      <c r="H142" s="5"/>
      <c r="I142" s="87"/>
      <c r="J142" s="5"/>
      <c r="K142" s="5"/>
    </row>
    <row r="143" spans="2:11" x14ac:dyDescent="0.25">
      <c r="B143" s="5"/>
      <c r="D143" s="5"/>
      <c r="E143" s="5"/>
      <c r="F143" s="5"/>
      <c r="G143" s="5"/>
      <c r="H143" s="5"/>
      <c r="I143" s="87"/>
      <c r="J143" s="5"/>
      <c r="K143" s="5"/>
    </row>
    <row r="144" spans="2:11" x14ac:dyDescent="0.25">
      <c r="B144" s="5"/>
      <c r="D144" s="5"/>
      <c r="E144" s="5"/>
      <c r="F144" s="5"/>
      <c r="G144" s="5"/>
      <c r="H144" s="5"/>
      <c r="I144" s="87"/>
      <c r="J144" s="5"/>
      <c r="K144" s="5"/>
    </row>
    <row r="145" spans="2:11" x14ac:dyDescent="0.25">
      <c r="B145" s="5"/>
      <c r="D145" s="5"/>
      <c r="E145" s="5"/>
      <c r="F145" s="5"/>
      <c r="G145" s="5"/>
      <c r="H145" s="5"/>
      <c r="I145" s="87"/>
      <c r="J145" s="5"/>
      <c r="K145" s="5"/>
    </row>
    <row r="146" spans="2:11" x14ac:dyDescent="0.25">
      <c r="B146" s="5"/>
      <c r="D146" s="5"/>
      <c r="E146" s="5"/>
      <c r="F146" s="5"/>
      <c r="G146" s="5"/>
      <c r="H146" s="5"/>
      <c r="I146" s="87"/>
      <c r="J146" s="5"/>
      <c r="K146" s="5"/>
    </row>
    <row r="147" spans="2:11" x14ac:dyDescent="0.25">
      <c r="B147" s="5"/>
      <c r="D147" s="5"/>
      <c r="E147" s="5"/>
      <c r="F147" s="5"/>
      <c r="G147" s="5"/>
      <c r="H147" s="5"/>
      <c r="I147" s="87"/>
      <c r="J147" s="5"/>
      <c r="K147" s="5"/>
    </row>
    <row r="148" spans="2:11" x14ac:dyDescent="0.25">
      <c r="B148" s="5"/>
      <c r="D148" s="5"/>
      <c r="E148" s="5"/>
      <c r="F148" s="5"/>
      <c r="G148" s="5"/>
      <c r="H148" s="5"/>
      <c r="I148" s="87"/>
      <c r="J148" s="5"/>
      <c r="K148" s="5"/>
    </row>
    <row r="149" spans="2:11" x14ac:dyDescent="0.25">
      <c r="B149" s="5"/>
      <c r="D149" s="5"/>
      <c r="E149" s="5"/>
      <c r="F149" s="5"/>
      <c r="G149" s="5"/>
      <c r="H149" s="5"/>
      <c r="I149" s="87"/>
      <c r="J149" s="5"/>
      <c r="K149" s="5"/>
    </row>
    <row r="150" spans="2:11" x14ac:dyDescent="0.25">
      <c r="B150" s="5"/>
      <c r="D150" s="5"/>
      <c r="E150" s="5"/>
      <c r="F150" s="5"/>
      <c r="G150" s="5"/>
      <c r="H150" s="5"/>
      <c r="I150" s="87"/>
      <c r="J150" s="5"/>
      <c r="K150" s="5"/>
    </row>
    <row r="151" spans="2:11" x14ac:dyDescent="0.25">
      <c r="B151" s="5"/>
      <c r="D151" s="5"/>
      <c r="E151" s="5"/>
      <c r="F151" s="5"/>
      <c r="G151" s="5"/>
      <c r="H151" s="5"/>
      <c r="I151" s="87"/>
      <c r="J151" s="5"/>
      <c r="K151" s="5"/>
    </row>
    <row r="152" spans="2:11" x14ac:dyDescent="0.25">
      <c r="B152" s="5"/>
      <c r="D152" s="5"/>
      <c r="E152" s="5"/>
      <c r="F152" s="5"/>
      <c r="G152" s="5"/>
      <c r="H152" s="5"/>
      <c r="I152" s="87"/>
      <c r="J152" s="5"/>
      <c r="K152" s="5"/>
    </row>
    <row r="153" spans="2:11" x14ac:dyDescent="0.25">
      <c r="B153" s="5"/>
      <c r="D153" s="5"/>
      <c r="E153" s="5"/>
      <c r="F153" s="5"/>
      <c r="G153" s="5"/>
      <c r="H153" s="5"/>
      <c r="I153" s="87"/>
      <c r="J153" s="5"/>
      <c r="K153" s="5"/>
    </row>
    <row r="154" spans="2:11" x14ac:dyDescent="0.25">
      <c r="B154" s="5"/>
      <c r="D154" s="5"/>
      <c r="E154" s="5"/>
      <c r="F154" s="5"/>
      <c r="G154" s="5"/>
      <c r="H154" s="5"/>
      <c r="I154" s="87"/>
      <c r="J154" s="5"/>
      <c r="K154" s="5"/>
    </row>
    <row r="155" spans="2:11" x14ac:dyDescent="0.25">
      <c r="B155" s="5"/>
      <c r="D155" s="5"/>
      <c r="E155" s="5"/>
      <c r="F155" s="5"/>
      <c r="G155" s="5"/>
      <c r="H155" s="5"/>
      <c r="I155" s="87"/>
      <c r="J155" s="5"/>
      <c r="K155" s="5"/>
    </row>
    <row r="156" spans="2:11" x14ac:dyDescent="0.25">
      <c r="B156" s="5"/>
      <c r="D156" s="5"/>
      <c r="E156" s="5"/>
      <c r="F156" s="5"/>
      <c r="G156" s="5"/>
      <c r="H156" s="5"/>
      <c r="I156" s="87"/>
      <c r="J156" s="5"/>
      <c r="K156" s="5"/>
    </row>
    <row r="157" spans="2:11" x14ac:dyDescent="0.25">
      <c r="B157" s="5"/>
      <c r="D157" s="5"/>
      <c r="E157" s="5"/>
      <c r="F157" s="5"/>
      <c r="G157" s="5"/>
      <c r="H157" s="5"/>
      <c r="I157" s="87"/>
      <c r="J157" s="5"/>
      <c r="K157" s="5"/>
    </row>
    <row r="158" spans="2:11" x14ac:dyDescent="0.25">
      <c r="B158" s="5"/>
      <c r="D158" s="5"/>
      <c r="E158" s="5"/>
      <c r="F158" s="5"/>
      <c r="G158" s="5"/>
      <c r="H158" s="5"/>
      <c r="I158" s="87"/>
      <c r="J158" s="5"/>
      <c r="K158" s="5"/>
    </row>
    <row r="159" spans="2:11" x14ac:dyDescent="0.25">
      <c r="B159" s="5"/>
      <c r="D159" s="5"/>
      <c r="E159" s="5"/>
      <c r="F159" s="5"/>
      <c r="G159" s="5"/>
      <c r="H159" s="5"/>
      <c r="I159" s="87"/>
      <c r="J159" s="5"/>
      <c r="K159" s="5"/>
    </row>
    <row r="160" spans="2:11" x14ac:dyDescent="0.25">
      <c r="B160" s="5"/>
      <c r="D160" s="5"/>
      <c r="E160" s="5"/>
      <c r="F160" s="5"/>
      <c r="G160" s="5"/>
      <c r="H160" s="5"/>
      <c r="I160" s="87"/>
      <c r="J160" s="5"/>
      <c r="K160" s="5"/>
    </row>
    <row r="161" spans="2:11" x14ac:dyDescent="0.25">
      <c r="B161" s="5"/>
      <c r="D161" s="5"/>
      <c r="E161" s="5"/>
      <c r="F161" s="5"/>
      <c r="G161" s="5"/>
      <c r="H161" s="5"/>
      <c r="I161" s="87"/>
      <c r="J161" s="5"/>
      <c r="K161" s="5"/>
    </row>
    <row r="162" spans="2:11" x14ac:dyDescent="0.25">
      <c r="B162" s="5"/>
      <c r="D162" s="5"/>
      <c r="E162" s="5"/>
      <c r="F162" s="5"/>
      <c r="G162" s="5"/>
      <c r="H162" s="5"/>
      <c r="I162" s="87"/>
      <c r="J162" s="5"/>
      <c r="K162" s="5"/>
    </row>
    <row r="163" spans="2:11" x14ac:dyDescent="0.25">
      <c r="B163" s="5"/>
      <c r="D163" s="5"/>
      <c r="E163" s="5"/>
      <c r="F163" s="5"/>
      <c r="G163" s="5"/>
      <c r="H163" s="5"/>
      <c r="I163" s="87"/>
      <c r="J163" s="5"/>
      <c r="K163" s="5"/>
    </row>
    <row r="164" spans="2:11" x14ac:dyDescent="0.25">
      <c r="B164" s="5"/>
      <c r="D164" s="5"/>
      <c r="E164" s="5"/>
      <c r="F164" s="5"/>
      <c r="G164" s="5"/>
      <c r="H164" s="5"/>
      <c r="I164" s="87"/>
      <c r="J164" s="5"/>
      <c r="K164" s="5"/>
    </row>
    <row r="165" spans="2:11" x14ac:dyDescent="0.25">
      <c r="B165" s="5"/>
      <c r="D165" s="5"/>
      <c r="E165" s="5"/>
      <c r="F165" s="5"/>
      <c r="G165" s="5"/>
      <c r="H165" s="5"/>
      <c r="I165" s="87"/>
      <c r="J165" s="5"/>
      <c r="K165" s="5"/>
    </row>
    <row r="166" spans="2:11" x14ac:dyDescent="0.25">
      <c r="B166" s="5"/>
      <c r="D166" s="5"/>
      <c r="E166" s="5"/>
      <c r="F166" s="5"/>
      <c r="G166" s="5"/>
      <c r="H166" s="5"/>
      <c r="I166" s="87"/>
      <c r="J166" s="5"/>
      <c r="K166" s="5"/>
    </row>
    <row r="167" spans="2:11" x14ac:dyDescent="0.25">
      <c r="B167" s="5"/>
      <c r="D167" s="5"/>
      <c r="E167" s="5"/>
      <c r="F167" s="5"/>
      <c r="G167" s="5"/>
      <c r="H167" s="5"/>
      <c r="I167" s="87"/>
      <c r="J167" s="5"/>
      <c r="K167" s="5"/>
    </row>
    <row r="168" spans="2:11" x14ac:dyDescent="0.25">
      <c r="B168" s="5"/>
      <c r="D168" s="5"/>
      <c r="E168" s="5"/>
      <c r="F168" s="5"/>
      <c r="G168" s="5"/>
      <c r="H168" s="5"/>
      <c r="I168" s="87"/>
      <c r="J168" s="5"/>
      <c r="K168" s="5"/>
    </row>
    <row r="169" spans="2:11" x14ac:dyDescent="0.25">
      <c r="B169" s="5"/>
      <c r="D169" s="5"/>
      <c r="E169" s="5"/>
      <c r="F169" s="5"/>
      <c r="G169" s="5"/>
      <c r="H169" s="5"/>
      <c r="I169" s="87"/>
      <c r="J169" s="5"/>
      <c r="K169" s="5"/>
    </row>
    <row r="170" spans="2:11" x14ac:dyDescent="0.25">
      <c r="B170" s="5"/>
      <c r="D170" s="5"/>
      <c r="E170" s="5"/>
      <c r="F170" s="5"/>
      <c r="G170" s="5"/>
      <c r="H170" s="5"/>
      <c r="I170" s="87"/>
      <c r="J170" s="5"/>
      <c r="K170" s="5"/>
    </row>
    <row r="171" spans="2:11" x14ac:dyDescent="0.25">
      <c r="B171" s="5"/>
      <c r="D171" s="5"/>
      <c r="E171" s="5"/>
      <c r="F171" s="5"/>
      <c r="G171" s="5"/>
      <c r="H171" s="5"/>
      <c r="I171" s="87"/>
      <c r="J171" s="5"/>
      <c r="K171" s="5"/>
    </row>
    <row r="172" spans="2:11" x14ac:dyDescent="0.25">
      <c r="B172" s="5"/>
      <c r="D172" s="5"/>
      <c r="E172" s="5"/>
      <c r="F172" s="5"/>
      <c r="G172" s="5"/>
      <c r="H172" s="5"/>
      <c r="I172" s="87"/>
      <c r="J172" s="5"/>
      <c r="K172" s="5"/>
    </row>
    <row r="173" spans="2:11" x14ac:dyDescent="0.25">
      <c r="B173" s="5"/>
      <c r="D173" s="5"/>
      <c r="E173" s="5"/>
      <c r="F173" s="5"/>
      <c r="G173" s="5"/>
      <c r="H173" s="5"/>
      <c r="I173" s="87"/>
      <c r="J173" s="5"/>
      <c r="K173" s="5"/>
    </row>
    <row r="174" spans="2:11" x14ac:dyDescent="0.25">
      <c r="B174" s="5"/>
      <c r="D174" s="5"/>
      <c r="E174" s="5"/>
      <c r="F174" s="5"/>
      <c r="G174" s="5"/>
      <c r="H174" s="5"/>
      <c r="I174" s="87"/>
      <c r="J174" s="5"/>
      <c r="K174" s="5"/>
    </row>
    <row r="175" spans="2:11" x14ac:dyDescent="0.25">
      <c r="B175" s="5"/>
      <c r="D175" s="5"/>
      <c r="E175" s="5"/>
      <c r="F175" s="5"/>
      <c r="G175" s="5"/>
      <c r="H175" s="5"/>
      <c r="I175" s="87"/>
      <c r="J175" s="5"/>
      <c r="K175" s="5"/>
    </row>
    <row r="176" spans="2:11" x14ac:dyDescent="0.25">
      <c r="B176" s="5"/>
      <c r="D176" s="5"/>
      <c r="E176" s="5"/>
      <c r="F176" s="5"/>
      <c r="G176" s="5"/>
      <c r="H176" s="5"/>
      <c r="I176" s="87"/>
      <c r="J176" s="5"/>
      <c r="K176" s="5"/>
    </row>
    <row r="177" spans="2:11" x14ac:dyDescent="0.25">
      <c r="B177" s="5"/>
      <c r="D177" s="5"/>
      <c r="E177" s="5"/>
      <c r="F177" s="5"/>
      <c r="G177" s="5"/>
      <c r="H177" s="5"/>
      <c r="I177" s="87"/>
      <c r="J177" s="5"/>
      <c r="K177" s="5"/>
    </row>
    <row r="178" spans="2:11" x14ac:dyDescent="0.25">
      <c r="B178" s="5"/>
      <c r="D178" s="5"/>
      <c r="E178" s="5"/>
      <c r="F178" s="5"/>
      <c r="G178" s="5"/>
      <c r="H178" s="5"/>
      <c r="I178" s="87"/>
      <c r="J178" s="5"/>
      <c r="K178" s="5"/>
    </row>
    <row r="179" spans="2:11" x14ac:dyDescent="0.25">
      <c r="B179" s="5"/>
      <c r="D179" s="5"/>
      <c r="E179" s="5"/>
      <c r="F179" s="5"/>
      <c r="G179" s="5"/>
      <c r="H179" s="5"/>
      <c r="I179" s="87"/>
      <c r="J179" s="5"/>
      <c r="K179" s="5"/>
    </row>
    <row r="180" spans="2:11" x14ac:dyDescent="0.25">
      <c r="B180" s="5"/>
      <c r="D180" s="5"/>
      <c r="E180" s="5"/>
      <c r="F180" s="5"/>
      <c r="G180" s="5"/>
      <c r="H180" s="5"/>
      <c r="I180" s="87"/>
      <c r="J180" s="5"/>
      <c r="K180" s="5"/>
    </row>
    <row r="181" spans="2:11" x14ac:dyDescent="0.25">
      <c r="B181" s="5"/>
      <c r="D181" s="5"/>
      <c r="E181" s="5"/>
      <c r="F181" s="5"/>
      <c r="G181" s="5"/>
      <c r="H181" s="5"/>
      <c r="I181" s="87"/>
      <c r="J181" s="5"/>
      <c r="K181" s="5"/>
    </row>
    <row r="182" spans="2:11" x14ac:dyDescent="0.25">
      <c r="B182" s="5"/>
      <c r="D182" s="5"/>
      <c r="E182" s="5"/>
      <c r="F182" s="5"/>
      <c r="G182" s="5"/>
      <c r="H182" s="5"/>
      <c r="I182" s="87"/>
      <c r="J182" s="5"/>
      <c r="K182" s="5"/>
    </row>
    <row r="183" spans="2:11" x14ac:dyDescent="0.25">
      <c r="B183" s="5"/>
      <c r="D183" s="5"/>
      <c r="E183" s="5"/>
      <c r="F183" s="5"/>
      <c r="G183" s="5"/>
      <c r="H183" s="5"/>
      <c r="I183" s="87"/>
      <c r="J183" s="5"/>
      <c r="K183" s="5"/>
    </row>
    <row r="184" spans="2:11" x14ac:dyDescent="0.25">
      <c r="B184" s="5"/>
      <c r="D184" s="5"/>
      <c r="E184" s="5"/>
      <c r="F184" s="5"/>
      <c r="G184" s="5"/>
      <c r="H184" s="5"/>
      <c r="I184" s="87"/>
      <c r="J184" s="5"/>
      <c r="K184" s="5"/>
    </row>
    <row r="185" spans="2:11" x14ac:dyDescent="0.25">
      <c r="B185" s="5"/>
      <c r="D185" s="5"/>
      <c r="E185" s="5"/>
      <c r="F185" s="5"/>
      <c r="G185" s="5"/>
      <c r="H185" s="5"/>
      <c r="I185" s="87"/>
      <c r="J185" s="5"/>
      <c r="K185" s="5"/>
    </row>
    <row r="186" spans="2:11" x14ac:dyDescent="0.25">
      <c r="B186" s="5"/>
      <c r="D186" s="5"/>
      <c r="E186" s="5"/>
      <c r="F186" s="5"/>
      <c r="G186" s="5"/>
      <c r="H186" s="5"/>
      <c r="I186" s="87"/>
      <c r="J186" s="5"/>
      <c r="K186" s="5"/>
    </row>
    <row r="187" spans="2:11" x14ac:dyDescent="0.25">
      <c r="B187" s="5"/>
      <c r="D187" s="5"/>
      <c r="E187" s="5"/>
      <c r="F187" s="5"/>
      <c r="G187" s="5"/>
      <c r="H187" s="5"/>
      <c r="I187" s="87"/>
      <c r="J187" s="5"/>
      <c r="K187" s="5"/>
    </row>
    <row r="188" spans="2:11" x14ac:dyDescent="0.25">
      <c r="B188" s="5"/>
      <c r="D188" s="5"/>
      <c r="E188" s="5"/>
      <c r="F188" s="5"/>
      <c r="G188" s="5"/>
      <c r="H188" s="5"/>
      <c r="I188" s="87"/>
      <c r="J188" s="5"/>
      <c r="K188" s="5"/>
    </row>
    <row r="189" spans="2:11" x14ac:dyDescent="0.25">
      <c r="B189" s="5"/>
      <c r="D189" s="5"/>
      <c r="E189" s="5"/>
      <c r="F189" s="5"/>
      <c r="G189" s="5"/>
      <c r="H189" s="5"/>
      <c r="I189" s="87"/>
      <c r="J189" s="5"/>
      <c r="K189" s="5"/>
    </row>
  </sheetData>
  <sheetProtection insertColumns="0" insertRows="0"/>
  <mergeCells count="37">
    <mergeCell ref="A1:P1"/>
    <mergeCell ref="A2:P2"/>
    <mergeCell ref="A3:P3"/>
    <mergeCell ref="A4:D4"/>
    <mergeCell ref="A5:P5"/>
    <mergeCell ref="B112:B124"/>
    <mergeCell ref="B15:B49"/>
    <mergeCell ref="D15:I15"/>
    <mergeCell ref="D16:I16"/>
    <mergeCell ref="D17:I17"/>
    <mergeCell ref="D22:I22"/>
    <mergeCell ref="B73:B79"/>
    <mergeCell ref="D38:I38"/>
    <mergeCell ref="D43:I43"/>
    <mergeCell ref="D44:I44"/>
    <mergeCell ref="D45:I45"/>
    <mergeCell ref="D60:I60"/>
    <mergeCell ref="B86:D87"/>
    <mergeCell ref="D61:I61"/>
    <mergeCell ref="B63:E63"/>
    <mergeCell ref="B64:B70"/>
    <mergeCell ref="D36:I36"/>
    <mergeCell ref="D37:I37"/>
    <mergeCell ref="B91:B92"/>
    <mergeCell ref="B93:B103"/>
    <mergeCell ref="B105:B111"/>
    <mergeCell ref="B72:E72"/>
    <mergeCell ref="D23:I23"/>
    <mergeCell ref="D24:I24"/>
    <mergeCell ref="D29:I29"/>
    <mergeCell ref="D30:I30"/>
    <mergeCell ref="D31:I31"/>
    <mergeCell ref="B10:D10"/>
    <mergeCell ref="F10:S10"/>
    <mergeCell ref="F11:S11"/>
    <mergeCell ref="E12:R12"/>
    <mergeCell ref="E13:R13"/>
  </mergeCells>
  <conditionalFormatting sqref="E12:R12">
    <cfRule type="expression" dxfId="37" priority="1">
      <formula>E11="SI SE REPORTA"</formula>
    </cfRule>
  </conditionalFormatting>
  <conditionalFormatting sqref="F10">
    <cfRule type="notContainsBlanks" dxfId="36" priority="4">
      <formula>LEN(TRIM(F10))&gt;0</formula>
    </cfRule>
  </conditionalFormatting>
  <conditionalFormatting sqref="F11:S11">
    <cfRule type="expression" dxfId="35" priority="2">
      <formula>E11="NO SE REPORTA"</formula>
    </cfRule>
    <cfRule type="expression" dxfId="34" priority="3">
      <formula>E10="NO APLICA"</formula>
    </cfRule>
  </conditionalFormatting>
  <dataValidations count="4">
    <dataValidation type="list" allowBlank="1" showInputMessage="1" showErrorMessage="1" sqref="E10" xr:uid="{00000000-0002-0000-1D00-000003000000}">
      <formula1>SI</formula1>
    </dataValidation>
    <dataValidation type="list" allowBlank="1" showInputMessage="1" showErrorMessage="1" sqref="E11" xr:uid="{00000000-0002-0000-1D00-000002000000}">
      <formula1>REPORTE</formula1>
    </dataValidation>
    <dataValidation allowBlank="1" showInputMessage="1" showErrorMessage="1" sqref="E49:H49 E52:E57 G52:G57 F57 E21:H21 I26:I28 E28:H28 E35:I35 I33:I34 I40:I42 E42:H42 I47:I49" xr:uid="{00000000-0002-0000-1D00-000001000000}"/>
    <dataValidation type="whole" operator="greaterThanOrEqual" allowBlank="1" showErrorMessage="1" errorTitle="ERROR" error="Escriba un número igual o mayor que 0" promptTitle="ERROR" prompt="Escriba un número igual o mayor que 0" sqref="E40:H41 E26:H27 E47:H48 E19:H20 E33:H34" xr:uid="{00000000-0002-0000-1D00-000000000000}">
      <formula1>0</formula1>
    </dataValidation>
  </dataValidations>
  <hyperlinks>
    <hyperlink ref="B9" location="'ANEXO 3'!A1" display="VOLVER AL INDICE" xr:uid="{27B4E2F4-1639-48F4-85B0-7F2467DE3C6C}"/>
    <hyperlink ref="E68" r:id="rId1" xr:uid="{D803A905-9EC1-4A86-B580-ABB8580C3A7F}"/>
  </hyperlinks>
  <pageMargins left="0.25" right="0.25" top="0.75" bottom="0.75" header="0.3" footer="0.3"/>
  <pageSetup paperSize="178" orientation="landscape" horizontalDpi="1200" verticalDpi="1200" r:id="rId2"/>
  <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156A5-2165-4A79-A9E9-AA87CFDB0D62}">
  <dimension ref="A1:U197"/>
  <sheetViews>
    <sheetView showGridLines="0" topLeftCell="C156" zoomScale="98" zoomScaleNormal="98" workbookViewId="0">
      <selection activeCell="D18" sqref="D18:I18"/>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 min="9" max="9" width="11.42578125" style="133"/>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31</v>
      </c>
      <c r="B5" s="998"/>
      <c r="C5" s="998"/>
      <c r="D5" s="998"/>
      <c r="E5" s="998"/>
      <c r="F5" s="998"/>
      <c r="G5" s="998"/>
      <c r="H5" s="998"/>
      <c r="I5" s="998"/>
      <c r="J5" s="998"/>
      <c r="K5" s="998"/>
      <c r="L5" s="998"/>
      <c r="M5" s="998"/>
      <c r="N5" s="998"/>
      <c r="O5" s="998"/>
      <c r="P5" s="999"/>
    </row>
    <row r="6" spans="1:21" x14ac:dyDescent="0.25">
      <c r="B6" s="1" t="s">
        <v>626</v>
      </c>
      <c r="C6" s="76"/>
      <c r="D6" s="5"/>
      <c r="E6" s="74"/>
      <c r="F6" s="5" t="s">
        <v>627</v>
      </c>
      <c r="G6" s="5"/>
      <c r="H6" s="5"/>
      <c r="I6" s="87"/>
      <c r="J6" s="5"/>
      <c r="K6" s="5"/>
    </row>
    <row r="7" spans="1:21" ht="15.75" thickBot="1" x14ac:dyDescent="0.3">
      <c r="B7" s="75"/>
      <c r="C7" s="77"/>
      <c r="D7" s="5"/>
      <c r="E7" s="17"/>
      <c r="F7" s="5" t="s">
        <v>628</v>
      </c>
      <c r="G7" s="5"/>
      <c r="H7" s="5"/>
      <c r="I7" s="87"/>
      <c r="J7" s="5"/>
      <c r="K7" s="5"/>
    </row>
    <row r="8" spans="1:21" ht="15.75" thickBot="1" x14ac:dyDescent="0.3">
      <c r="B8" s="171" t="s">
        <v>629</v>
      </c>
      <c r="C8" s="211">
        <v>2024</v>
      </c>
      <c r="D8" s="216">
        <f>IF(E10="NO APLICA","NO APLICA",IF(E11="NO SE REPORTA","SIN INFORMACION",+G122))</f>
        <v>0.99718670076726335</v>
      </c>
      <c r="E8" s="212"/>
      <c r="F8" s="5" t="s">
        <v>630</v>
      </c>
      <c r="G8" s="5"/>
      <c r="H8" s="5"/>
      <c r="I8" s="87"/>
      <c r="J8" s="5"/>
      <c r="K8" s="5"/>
    </row>
    <row r="9" spans="1:21" x14ac:dyDescent="0.25">
      <c r="B9" s="358" t="s">
        <v>631</v>
      </c>
      <c r="C9" s="88"/>
      <c r="D9" s="5"/>
      <c r="E9" s="5"/>
      <c r="F9" s="5"/>
      <c r="G9" s="5"/>
      <c r="H9" s="5"/>
      <c r="I9" s="87"/>
      <c r="J9" s="5"/>
      <c r="K9" s="5"/>
    </row>
    <row r="10" spans="1:21" x14ac:dyDescent="0.25">
      <c r="B10" s="1008" t="s">
        <v>632</v>
      </c>
      <c r="C10" s="1008"/>
      <c r="D10" s="1008"/>
      <c r="E10" s="361" t="s">
        <v>633</v>
      </c>
      <c r="F10" s="99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96"/>
      <c r="H10" s="996"/>
      <c r="I10" s="996"/>
      <c r="J10" s="996"/>
      <c r="K10" s="996"/>
      <c r="L10" s="996"/>
      <c r="M10" s="996"/>
      <c r="N10" s="996"/>
      <c r="O10" s="996"/>
      <c r="P10" s="996"/>
      <c r="Q10" s="996"/>
      <c r="R10" s="996"/>
      <c r="S10" s="996"/>
      <c r="T10" s="5"/>
      <c r="U10" s="5"/>
    </row>
    <row r="11" spans="1:21" ht="14.45" customHeight="1" x14ac:dyDescent="0.25">
      <c r="B11" s="360"/>
      <c r="C11" s="88"/>
      <c r="D11" s="171" t="str">
        <f>IF(E10="SI APLICA","¿El indicador no se reporta por limitaciones de información disponible? ","")</f>
        <v xml:space="preserve">¿El indicador no se reporta por limitaciones de información disponible? </v>
      </c>
      <c r="E11" s="362" t="s">
        <v>634</v>
      </c>
      <c r="F11" s="1009"/>
      <c r="G11" s="1010"/>
      <c r="H11" s="1010"/>
      <c r="I11" s="1010"/>
      <c r="J11" s="1010"/>
      <c r="K11" s="1010"/>
      <c r="L11" s="1010"/>
      <c r="M11" s="1010"/>
      <c r="N11" s="1010"/>
      <c r="O11" s="1010"/>
      <c r="P11" s="1010"/>
      <c r="Q11" s="1010"/>
      <c r="R11" s="1010"/>
      <c r="S11" s="1010"/>
    </row>
    <row r="12" spans="1:21" ht="23.45" customHeight="1" x14ac:dyDescent="0.25">
      <c r="B12" s="358"/>
      <c r="C12" s="88"/>
      <c r="D12" s="171" t="str">
        <f>IF(E11="SI SE REPORTA","¿Qué programas o proyectos del Plan de Acción están asociados al indicador? ","")</f>
        <v xml:space="preserve">¿Qué programas o proyectos del Plan de Acción están asociados al indicador? </v>
      </c>
      <c r="E12" s="1011" t="s">
        <v>2367</v>
      </c>
      <c r="F12" s="1011"/>
      <c r="G12" s="1011"/>
      <c r="H12" s="1011"/>
      <c r="I12" s="1011"/>
      <c r="J12" s="1011"/>
      <c r="K12" s="1011"/>
      <c r="L12" s="1011"/>
      <c r="M12" s="1011"/>
      <c r="N12" s="1011"/>
      <c r="O12" s="1011"/>
      <c r="P12" s="1011"/>
      <c r="Q12" s="1011"/>
      <c r="R12" s="1011"/>
    </row>
    <row r="13" spans="1:21" ht="21.95" customHeight="1" x14ac:dyDescent="0.25">
      <c r="B13" s="358"/>
      <c r="C13" s="88"/>
      <c r="D13" s="171" t="s">
        <v>635</v>
      </c>
      <c r="E13" s="1012"/>
      <c r="F13" s="1013"/>
      <c r="G13" s="1013"/>
      <c r="H13" s="1013"/>
      <c r="I13" s="1013"/>
      <c r="J13" s="1013"/>
      <c r="K13" s="1013"/>
      <c r="L13" s="1013"/>
      <c r="M13" s="1013"/>
      <c r="N13" s="1013"/>
      <c r="O13" s="1013"/>
      <c r="P13" s="1013"/>
      <c r="Q13" s="1013"/>
      <c r="R13" s="1014"/>
    </row>
    <row r="14" spans="1:21" ht="6.95" customHeight="1" thickBot="1" x14ac:dyDescent="0.3">
      <c r="B14" s="358"/>
      <c r="C14" s="88"/>
      <c r="D14" s="5"/>
      <c r="E14" s="5"/>
      <c r="F14" s="5"/>
      <c r="G14" s="5"/>
      <c r="H14" s="5"/>
      <c r="I14" s="87"/>
      <c r="J14" s="5"/>
      <c r="K14" s="5"/>
    </row>
    <row r="15" spans="1:21" x14ac:dyDescent="0.25">
      <c r="B15" s="974" t="s">
        <v>636</v>
      </c>
      <c r="C15" s="89"/>
      <c r="D15" s="956" t="s">
        <v>637</v>
      </c>
      <c r="E15" s="957"/>
      <c r="F15" s="957"/>
      <c r="G15" s="957"/>
      <c r="H15" s="957"/>
      <c r="I15" s="958"/>
      <c r="J15" s="5"/>
      <c r="K15" s="5"/>
    </row>
    <row r="16" spans="1:21" x14ac:dyDescent="0.25">
      <c r="B16" s="975"/>
      <c r="C16" s="92"/>
      <c r="D16" s="1116" t="s">
        <v>1562</v>
      </c>
      <c r="E16" s="1117"/>
      <c r="F16" s="1117"/>
      <c r="G16" s="1117"/>
      <c r="H16" s="1117"/>
      <c r="I16" s="1118"/>
      <c r="J16" s="5"/>
      <c r="K16" s="5"/>
    </row>
    <row r="17" spans="2:11" ht="15.75" thickBot="1" x14ac:dyDescent="0.3">
      <c r="B17" s="975"/>
      <c r="C17" s="92"/>
      <c r="D17" s="962"/>
      <c r="E17" s="963"/>
      <c r="F17" s="963"/>
      <c r="G17" s="963"/>
      <c r="H17" s="963"/>
      <c r="I17" s="964"/>
      <c r="J17" s="5"/>
      <c r="K17" s="5"/>
    </row>
    <row r="18" spans="2:11" ht="36.75" thickBot="1" x14ac:dyDescent="0.3">
      <c r="B18" s="975"/>
      <c r="C18" s="94"/>
      <c r="D18" s="43" t="s">
        <v>2383</v>
      </c>
      <c r="E18" s="146">
        <v>109</v>
      </c>
      <c r="F18" s="5"/>
      <c r="G18" s="5"/>
      <c r="H18" s="5"/>
      <c r="I18" s="310"/>
      <c r="J18" s="5"/>
      <c r="K18" s="5"/>
    </row>
    <row r="19" spans="2:11" ht="36.75" thickBot="1" x14ac:dyDescent="0.3">
      <c r="B19" s="975"/>
      <c r="C19" s="94"/>
      <c r="D19" s="40" t="s">
        <v>1563</v>
      </c>
      <c r="E19" s="146">
        <v>109</v>
      </c>
      <c r="F19" s="5"/>
      <c r="G19" s="5"/>
      <c r="H19" s="5"/>
      <c r="I19" s="310"/>
      <c r="J19" s="5"/>
      <c r="K19" s="5"/>
    </row>
    <row r="20" spans="2:11" ht="15.75" thickBot="1" x14ac:dyDescent="0.3">
      <c r="B20" s="975"/>
      <c r="C20" s="92"/>
      <c r="D20" s="986"/>
      <c r="E20" s="987"/>
      <c r="F20" s="987"/>
      <c r="G20" s="987"/>
      <c r="H20" s="987"/>
      <c r="I20" s="988"/>
      <c r="J20" s="5"/>
      <c r="K20" s="5"/>
    </row>
    <row r="21" spans="2:11" ht="15.75" thickBot="1" x14ac:dyDescent="0.3">
      <c r="B21" s="975"/>
      <c r="C21" s="94"/>
      <c r="D21" s="43" t="s">
        <v>763</v>
      </c>
      <c r="E21" s="38" t="s">
        <v>587</v>
      </c>
      <c r="F21" s="38" t="s">
        <v>588</v>
      </c>
      <c r="G21" s="38" t="s">
        <v>589</v>
      </c>
      <c r="H21" s="38" t="s">
        <v>590</v>
      </c>
      <c r="I21" s="90" t="s">
        <v>764</v>
      </c>
      <c r="J21" s="5"/>
      <c r="K21" s="5"/>
    </row>
    <row r="22" spans="2:11" ht="24.75" thickBot="1" x14ac:dyDescent="0.3">
      <c r="B22" s="975"/>
      <c r="C22" s="94"/>
      <c r="D22" s="40" t="s">
        <v>1564</v>
      </c>
      <c r="E22" s="784">
        <v>98</v>
      </c>
      <c r="F22" s="146"/>
      <c r="G22" s="146"/>
      <c r="H22" s="146"/>
      <c r="I22" s="311">
        <f>SUM(E22:H22)</f>
        <v>98</v>
      </c>
      <c r="J22" s="5"/>
      <c r="K22" s="5"/>
    </row>
    <row r="23" spans="2:11" ht="24.75" thickBot="1" x14ac:dyDescent="0.3">
      <c r="B23" s="975"/>
      <c r="C23" s="94"/>
      <c r="D23" s="40" t="s">
        <v>1565</v>
      </c>
      <c r="E23" s="783">
        <v>98</v>
      </c>
      <c r="F23" s="146"/>
      <c r="G23" s="146"/>
      <c r="H23" s="146"/>
      <c r="I23" s="311">
        <f>SUM(E23:H23)</f>
        <v>98</v>
      </c>
      <c r="J23" s="5"/>
      <c r="K23" s="5"/>
    </row>
    <row r="24" spans="2:11" ht="24.75" thickBot="1" x14ac:dyDescent="0.3">
      <c r="B24" s="975"/>
      <c r="C24" s="94"/>
      <c r="D24" s="40" t="s">
        <v>1566</v>
      </c>
      <c r="E24" s="185">
        <f>+E23/E22</f>
        <v>1</v>
      </c>
      <c r="F24" s="185" t="e">
        <f>+F23/F22</f>
        <v>#DIV/0!</v>
      </c>
      <c r="G24" s="185" t="e">
        <f>+G23/G22</f>
        <v>#DIV/0!</v>
      </c>
      <c r="H24" s="185" t="e">
        <f>+H23/H22</f>
        <v>#DIV/0!</v>
      </c>
      <c r="I24" s="185">
        <f>+I23/I22</f>
        <v>1</v>
      </c>
      <c r="J24" s="5"/>
      <c r="K24" s="5"/>
    </row>
    <row r="25" spans="2:11" x14ac:dyDescent="0.25">
      <c r="B25" s="975"/>
      <c r="C25" s="92"/>
      <c r="D25" s="956" t="s">
        <v>1567</v>
      </c>
      <c r="E25" s="957"/>
      <c r="F25" s="957"/>
      <c r="G25" s="957"/>
      <c r="H25" s="957"/>
      <c r="I25" s="958"/>
      <c r="J25" s="5"/>
      <c r="K25" s="5"/>
    </row>
    <row r="26" spans="2:11" ht="15.75" thickBot="1" x14ac:dyDescent="0.3">
      <c r="B26" s="975"/>
      <c r="C26" s="92"/>
      <c r="D26" s="962"/>
      <c r="E26" s="963"/>
      <c r="F26" s="963"/>
      <c r="G26" s="963"/>
      <c r="H26" s="963"/>
      <c r="I26" s="964"/>
      <c r="J26" s="5"/>
      <c r="K26" s="5"/>
    </row>
    <row r="27" spans="2:11" ht="24" x14ac:dyDescent="0.25">
      <c r="B27" s="975"/>
      <c r="C27" s="94"/>
      <c r="D27" s="958" t="s">
        <v>1568</v>
      </c>
      <c r="E27" s="974" t="s">
        <v>1569</v>
      </c>
      <c r="F27" s="974" t="s">
        <v>1570</v>
      </c>
      <c r="G27" s="974" t="s">
        <v>1571</v>
      </c>
      <c r="H27" s="63" t="s">
        <v>1572</v>
      </c>
      <c r="I27" s="310"/>
      <c r="J27" s="5"/>
      <c r="K27" s="5"/>
    </row>
    <row r="28" spans="2:11" ht="15.75" thickBot="1" x14ac:dyDescent="0.3">
      <c r="B28" s="975"/>
      <c r="C28" s="94"/>
      <c r="D28" s="988"/>
      <c r="E28" s="976"/>
      <c r="F28" s="976"/>
      <c r="G28" s="976"/>
      <c r="H28" s="40" t="s">
        <v>1573</v>
      </c>
      <c r="I28" s="310"/>
      <c r="J28" s="5"/>
      <c r="K28" s="5"/>
    </row>
    <row r="29" spans="2:11" ht="15.75" thickBot="1" x14ac:dyDescent="0.3">
      <c r="B29" s="975"/>
      <c r="C29" s="94"/>
      <c r="D29" s="30" t="s">
        <v>2382</v>
      </c>
      <c r="E29" s="146">
        <v>72</v>
      </c>
      <c r="F29" s="146">
        <v>72</v>
      </c>
      <c r="G29" s="146">
        <v>72</v>
      </c>
      <c r="H29" s="146">
        <v>72</v>
      </c>
      <c r="I29" s="310"/>
      <c r="J29" s="5"/>
      <c r="K29" s="5"/>
    </row>
    <row r="30" spans="2:11" ht="15.75" thickBot="1" x14ac:dyDescent="0.3">
      <c r="B30" s="975"/>
      <c r="C30" s="94"/>
      <c r="D30" s="30" t="s">
        <v>1758</v>
      </c>
      <c r="E30" s="146">
        <v>4</v>
      </c>
      <c r="F30" s="146">
        <v>4</v>
      </c>
      <c r="G30" s="146">
        <v>4</v>
      </c>
      <c r="H30" s="146">
        <v>4</v>
      </c>
      <c r="I30" s="310"/>
      <c r="J30" s="5"/>
      <c r="K30" s="5"/>
    </row>
    <row r="31" spans="2:11" ht="15.75" thickBot="1" x14ac:dyDescent="0.3">
      <c r="B31" s="975"/>
      <c r="C31" s="94"/>
      <c r="D31" s="30" t="s">
        <v>2381</v>
      </c>
      <c r="E31" s="146">
        <v>6</v>
      </c>
      <c r="F31" s="146">
        <v>6</v>
      </c>
      <c r="G31" s="146">
        <v>6</v>
      </c>
      <c r="H31" s="146">
        <v>6</v>
      </c>
      <c r="I31" s="310"/>
      <c r="J31" s="5"/>
      <c r="K31" s="5"/>
    </row>
    <row r="32" spans="2:11" ht="15.75" thickBot="1" x14ac:dyDescent="0.3">
      <c r="B32" s="975"/>
      <c r="C32" s="94"/>
      <c r="D32" s="30" t="s">
        <v>2380</v>
      </c>
      <c r="E32" s="146">
        <v>3</v>
      </c>
      <c r="F32" s="146">
        <v>3</v>
      </c>
      <c r="G32" s="146">
        <v>3</v>
      </c>
      <c r="H32" s="146">
        <v>3</v>
      </c>
      <c r="I32" s="310"/>
      <c r="J32" s="5"/>
      <c r="K32" s="5"/>
    </row>
    <row r="33" spans="2:11" ht="15.75" thickBot="1" x14ac:dyDescent="0.3">
      <c r="B33" s="975"/>
      <c r="C33" s="94"/>
      <c r="D33" s="30" t="s">
        <v>2379</v>
      </c>
      <c r="E33" s="146">
        <v>2</v>
      </c>
      <c r="F33" s="146">
        <v>2</v>
      </c>
      <c r="G33" s="146">
        <v>2</v>
      </c>
      <c r="H33" s="146">
        <v>2</v>
      </c>
      <c r="I33" s="310"/>
      <c r="J33" s="5"/>
      <c r="K33" s="5"/>
    </row>
    <row r="34" spans="2:11" ht="15.75" thickBot="1" x14ac:dyDescent="0.3">
      <c r="B34" s="975"/>
      <c r="C34" s="94"/>
      <c r="D34" s="30" t="s">
        <v>2378</v>
      </c>
      <c r="E34" s="146">
        <v>2</v>
      </c>
      <c r="F34" s="146">
        <v>2</v>
      </c>
      <c r="G34" s="146">
        <v>2</v>
      </c>
      <c r="H34" s="146">
        <v>2</v>
      </c>
      <c r="I34" s="310"/>
      <c r="J34" s="5"/>
      <c r="K34" s="5"/>
    </row>
    <row r="35" spans="2:11" ht="15.75" thickBot="1" x14ac:dyDescent="0.3">
      <c r="B35" s="975"/>
      <c r="C35" s="94"/>
      <c r="D35" s="30" t="s">
        <v>2377</v>
      </c>
      <c r="E35" s="146">
        <v>4</v>
      </c>
      <c r="F35" s="146">
        <v>4</v>
      </c>
      <c r="G35" s="146">
        <v>4</v>
      </c>
      <c r="H35" s="146">
        <v>4</v>
      </c>
      <c r="I35" s="310"/>
      <c r="J35" s="5"/>
      <c r="K35" s="5"/>
    </row>
    <row r="36" spans="2:11" ht="15.75" thickBot="1" x14ac:dyDescent="0.3">
      <c r="B36" s="975"/>
      <c r="C36" s="94"/>
      <c r="D36" s="30" t="s">
        <v>2376</v>
      </c>
      <c r="E36" s="146">
        <v>5</v>
      </c>
      <c r="F36" s="146">
        <v>5</v>
      </c>
      <c r="G36" s="146">
        <v>5</v>
      </c>
      <c r="H36" s="146">
        <v>5</v>
      </c>
      <c r="I36" s="310"/>
      <c r="J36" s="5"/>
      <c r="K36" s="5"/>
    </row>
    <row r="37" spans="2:11" ht="15.75" thickBot="1" x14ac:dyDescent="0.3">
      <c r="B37" s="975"/>
      <c r="C37" s="94"/>
      <c r="D37" s="30"/>
      <c r="E37" s="146"/>
      <c r="F37" s="146"/>
      <c r="G37" s="146"/>
      <c r="H37" s="146"/>
      <c r="I37" s="310"/>
      <c r="J37" s="5"/>
      <c r="K37" s="5"/>
    </row>
    <row r="38" spans="2:11" ht="15.75" thickBot="1" x14ac:dyDescent="0.3">
      <c r="B38" s="975"/>
      <c r="C38" s="94"/>
      <c r="D38" s="30"/>
      <c r="E38" s="146"/>
      <c r="F38" s="146"/>
      <c r="G38" s="146"/>
      <c r="H38" s="146"/>
      <c r="I38" s="310"/>
      <c r="J38" s="5"/>
      <c r="K38" s="5"/>
    </row>
    <row r="39" spans="2:11" ht="15.75" thickBot="1" x14ac:dyDescent="0.3">
      <c r="B39" s="975"/>
      <c r="C39" s="94"/>
      <c r="D39" s="30"/>
      <c r="E39" s="146"/>
      <c r="F39" s="146"/>
      <c r="G39" s="146"/>
      <c r="H39" s="146"/>
      <c r="I39" s="310"/>
      <c r="J39" s="5"/>
      <c r="K39" s="5"/>
    </row>
    <row r="40" spans="2:11" ht="15.75" thickBot="1" x14ac:dyDescent="0.3">
      <c r="B40" s="975"/>
      <c r="C40" s="94"/>
      <c r="D40" s="30"/>
      <c r="E40" s="146"/>
      <c r="F40" s="146"/>
      <c r="G40" s="146"/>
      <c r="H40" s="146"/>
      <c r="I40" s="310"/>
      <c r="J40" s="5"/>
      <c r="K40" s="5"/>
    </row>
    <row r="41" spans="2:11" ht="15.75" thickBot="1" x14ac:dyDescent="0.3">
      <c r="B41" s="975"/>
      <c r="C41" s="94"/>
      <c r="D41" s="40" t="s">
        <v>764</v>
      </c>
      <c r="E41" s="312">
        <f>SUM(E29:E40)</f>
        <v>98</v>
      </c>
      <c r="F41" s="312">
        <f>SUM(F29:F40)</f>
        <v>98</v>
      </c>
      <c r="G41" s="312">
        <f>SUM(G29:G40)</f>
        <v>98</v>
      </c>
      <c r="H41" s="312">
        <f>SUM(H29:H40)</f>
        <v>98</v>
      </c>
      <c r="I41" s="310"/>
      <c r="J41" s="5"/>
      <c r="K41" s="5"/>
    </row>
    <row r="42" spans="2:11" x14ac:dyDescent="0.25">
      <c r="B42" s="975"/>
      <c r="C42" s="92"/>
      <c r="D42" s="962"/>
      <c r="E42" s="963"/>
      <c r="F42" s="963"/>
      <c r="G42" s="963"/>
      <c r="H42" s="963"/>
      <c r="I42" s="964"/>
      <c r="J42" s="5"/>
      <c r="K42" s="5"/>
    </row>
    <row r="43" spans="2:11" x14ac:dyDescent="0.25">
      <c r="B43" s="975"/>
      <c r="C43" s="92"/>
      <c r="D43" s="1116" t="s">
        <v>1574</v>
      </c>
      <c r="E43" s="1117"/>
      <c r="F43" s="1117"/>
      <c r="G43" s="1117"/>
      <c r="H43" s="1117"/>
      <c r="I43" s="1118"/>
      <c r="J43" s="5"/>
      <c r="K43" s="5"/>
    </row>
    <row r="44" spans="2:11" ht="15.75" thickBot="1" x14ac:dyDescent="0.3">
      <c r="B44" s="975"/>
      <c r="C44" s="92"/>
      <c r="D44" s="962"/>
      <c r="E44" s="963"/>
      <c r="F44" s="963"/>
      <c r="G44" s="963"/>
      <c r="H44" s="963"/>
      <c r="I44" s="964"/>
      <c r="J44" s="5"/>
      <c r="K44" s="5"/>
    </row>
    <row r="45" spans="2:11" ht="15.75" thickBot="1" x14ac:dyDescent="0.3">
      <c r="B45" s="975"/>
      <c r="C45" s="94"/>
      <c r="D45" s="43" t="s">
        <v>763</v>
      </c>
      <c r="E45" s="38" t="s">
        <v>1575</v>
      </c>
      <c r="F45" s="5"/>
      <c r="G45" s="5"/>
      <c r="H45" s="5"/>
      <c r="I45" s="310"/>
      <c r="J45" s="5"/>
      <c r="K45" s="5"/>
    </row>
    <row r="46" spans="2:11" ht="15.75" thickBot="1" x14ac:dyDescent="0.3">
      <c r="B46" s="975"/>
      <c r="C46" s="94"/>
      <c r="D46" s="40" t="s">
        <v>2375</v>
      </c>
      <c r="E46" s="782">
        <v>534</v>
      </c>
      <c r="F46" s="5"/>
      <c r="G46" s="5"/>
      <c r="H46" s="5"/>
      <c r="I46" s="310"/>
      <c r="J46" s="5"/>
      <c r="K46" s="5"/>
    </row>
    <row r="47" spans="2:11" ht="24.75" thickBot="1" x14ac:dyDescent="0.3">
      <c r="B47" s="975"/>
      <c r="C47" s="94"/>
      <c r="D47" s="40" t="s">
        <v>2374</v>
      </c>
      <c r="E47" s="782">
        <v>559</v>
      </c>
      <c r="F47" s="5"/>
      <c r="G47" s="5"/>
      <c r="H47" s="5"/>
      <c r="I47" s="310"/>
      <c r="J47" s="5"/>
      <c r="K47" s="5"/>
    </row>
    <row r="48" spans="2:11" ht="24.75" thickBot="1" x14ac:dyDescent="0.3">
      <c r="B48" s="975"/>
      <c r="C48" s="94"/>
      <c r="D48" s="40" t="s">
        <v>2373</v>
      </c>
      <c r="E48" s="782">
        <v>818</v>
      </c>
      <c r="F48" s="5"/>
      <c r="G48" s="5"/>
      <c r="H48" s="5"/>
      <c r="I48" s="310"/>
      <c r="J48" s="5"/>
      <c r="K48" s="5"/>
    </row>
    <row r="49" spans="2:11" x14ac:dyDescent="0.25">
      <c r="B49" s="975"/>
      <c r="C49" s="92"/>
      <c r="D49" s="962"/>
      <c r="E49" s="963"/>
      <c r="F49" s="963"/>
      <c r="G49" s="963"/>
      <c r="H49" s="963"/>
      <c r="I49" s="964"/>
      <c r="J49" s="5"/>
      <c r="K49" s="5"/>
    </row>
    <row r="50" spans="2:11" x14ac:dyDescent="0.25">
      <c r="B50" s="975"/>
      <c r="C50" s="92"/>
      <c r="D50" s="962" t="s">
        <v>1576</v>
      </c>
      <c r="E50" s="963"/>
      <c r="F50" s="963"/>
      <c r="G50" s="963"/>
      <c r="H50" s="963"/>
      <c r="I50" s="964"/>
      <c r="J50" s="5"/>
      <c r="K50" s="5"/>
    </row>
    <row r="51" spans="2:11" ht="15.75" thickBot="1" x14ac:dyDescent="0.3">
      <c r="B51" s="975"/>
      <c r="C51" s="92"/>
      <c r="D51" s="986"/>
      <c r="E51" s="987"/>
      <c r="F51" s="987"/>
      <c r="G51" s="987"/>
      <c r="H51" s="987"/>
      <c r="I51" s="988"/>
      <c r="J51" s="5"/>
      <c r="K51" s="5"/>
    </row>
    <row r="52" spans="2:11" ht="15.75" thickBot="1" x14ac:dyDescent="0.3">
      <c r="B52" s="975"/>
      <c r="C52" s="94"/>
      <c r="D52" s="43" t="s">
        <v>763</v>
      </c>
      <c r="E52" s="38" t="s">
        <v>587</v>
      </c>
      <c r="F52" s="38" t="s">
        <v>588</v>
      </c>
      <c r="G52" s="38" t="s">
        <v>589</v>
      </c>
      <c r="H52" s="38" t="s">
        <v>590</v>
      </c>
      <c r="I52" s="90" t="s">
        <v>764</v>
      </c>
      <c r="J52" s="5"/>
      <c r="K52" s="5"/>
    </row>
    <row r="53" spans="2:11" ht="24.75" thickBot="1" x14ac:dyDescent="0.3">
      <c r="B53" s="975"/>
      <c r="C53" s="94"/>
      <c r="D53" s="40" t="s">
        <v>1577</v>
      </c>
      <c r="E53" s="782">
        <v>204</v>
      </c>
      <c r="F53" s="146"/>
      <c r="G53" s="146"/>
      <c r="H53" s="146"/>
      <c r="I53" s="312">
        <f>SUM(E53:H53)</f>
        <v>204</v>
      </c>
      <c r="J53" s="5"/>
      <c r="K53" s="5"/>
    </row>
    <row r="54" spans="2:11" ht="24.75" thickBot="1" x14ac:dyDescent="0.3">
      <c r="B54" s="975"/>
      <c r="C54" s="94"/>
      <c r="D54" s="40" t="s">
        <v>1578</v>
      </c>
      <c r="E54" s="782">
        <v>210</v>
      </c>
      <c r="F54" s="146"/>
      <c r="G54" s="146"/>
      <c r="H54" s="146"/>
      <c r="I54" s="312">
        <f>SUM(E54:H54)</f>
        <v>210</v>
      </c>
      <c r="J54" s="5"/>
      <c r="K54" s="5"/>
    </row>
    <row r="55" spans="2:11" ht="24.75" thickBot="1" x14ac:dyDescent="0.3">
      <c r="B55" s="975"/>
      <c r="C55" s="94"/>
      <c r="D55" s="40" t="s">
        <v>1579</v>
      </c>
      <c r="E55" s="185">
        <f>+E54/E53</f>
        <v>1.0294117647058822</v>
      </c>
      <c r="F55" s="185" t="e">
        <f>+F54/F53</f>
        <v>#DIV/0!</v>
      </c>
      <c r="G55" s="185" t="e">
        <f>+G54/G53</f>
        <v>#DIV/0!</v>
      </c>
      <c r="H55" s="185" t="e">
        <f>+H54/H53</f>
        <v>#DIV/0!</v>
      </c>
      <c r="I55" s="185">
        <f>+I54/I53</f>
        <v>1.0294117647058822</v>
      </c>
      <c r="J55" s="5"/>
      <c r="K55" s="5"/>
    </row>
    <row r="56" spans="2:11" x14ac:dyDescent="0.25">
      <c r="B56" s="975"/>
      <c r="C56" s="92"/>
      <c r="D56" s="956"/>
      <c r="E56" s="957"/>
      <c r="F56" s="957"/>
      <c r="G56" s="957"/>
      <c r="H56" s="957"/>
      <c r="I56" s="958"/>
      <c r="J56" s="5"/>
      <c r="K56" s="5"/>
    </row>
    <row r="57" spans="2:11" x14ac:dyDescent="0.25">
      <c r="B57" s="975"/>
      <c r="C57" s="92"/>
      <c r="D57" s="962" t="s">
        <v>1580</v>
      </c>
      <c r="E57" s="963"/>
      <c r="F57" s="963"/>
      <c r="G57" s="963"/>
      <c r="H57" s="963"/>
      <c r="I57" s="964"/>
      <c r="J57" s="5"/>
      <c r="K57" s="5"/>
    </row>
    <row r="58" spans="2:11" ht="15.75" thickBot="1" x14ac:dyDescent="0.3">
      <c r="B58" s="975"/>
      <c r="C58" s="92"/>
      <c r="D58" s="986"/>
      <c r="E58" s="987"/>
      <c r="F58" s="987"/>
      <c r="G58" s="987"/>
      <c r="H58" s="987"/>
      <c r="I58" s="988"/>
      <c r="J58" s="5"/>
      <c r="K58" s="5"/>
    </row>
    <row r="59" spans="2:11" ht="15.75" thickBot="1" x14ac:dyDescent="0.3">
      <c r="B59" s="975"/>
      <c r="C59" s="94"/>
      <c r="D59" s="43" t="s">
        <v>763</v>
      </c>
      <c r="E59" s="38" t="s">
        <v>587</v>
      </c>
      <c r="F59" s="38" t="s">
        <v>588</v>
      </c>
      <c r="G59" s="38" t="s">
        <v>589</v>
      </c>
      <c r="H59" s="38" t="s">
        <v>590</v>
      </c>
      <c r="I59" s="90" t="s">
        <v>764</v>
      </c>
      <c r="J59" s="5"/>
      <c r="K59" s="5"/>
    </row>
    <row r="60" spans="2:11" ht="24.75" thickBot="1" x14ac:dyDescent="0.3">
      <c r="B60" s="975"/>
      <c r="C60" s="94"/>
      <c r="D60" s="40" t="s">
        <v>1581</v>
      </c>
      <c r="E60" s="781">
        <v>8.3000000000000007</v>
      </c>
      <c r="F60" s="146"/>
      <c r="G60" s="146"/>
      <c r="H60" s="146"/>
      <c r="I60" s="312">
        <f>SUM(E60:H60)</f>
        <v>8.3000000000000007</v>
      </c>
      <c r="J60" s="5"/>
      <c r="K60" s="5"/>
    </row>
    <row r="61" spans="2:11" ht="24.75" thickBot="1" x14ac:dyDescent="0.3">
      <c r="B61" s="975"/>
      <c r="C61" s="94"/>
      <c r="D61" s="40" t="s">
        <v>1582</v>
      </c>
      <c r="E61" s="781">
        <v>8.5</v>
      </c>
      <c r="F61" s="146"/>
      <c r="G61" s="146"/>
      <c r="H61" s="146"/>
      <c r="I61" s="312">
        <f>SUM(E61:H61)</f>
        <v>8.5</v>
      </c>
      <c r="J61" s="5"/>
      <c r="K61" s="5"/>
    </row>
    <row r="62" spans="2:11" ht="24.75" thickBot="1" x14ac:dyDescent="0.3">
      <c r="B62" s="975"/>
      <c r="C62" s="94"/>
      <c r="D62" s="40" t="s">
        <v>1583</v>
      </c>
      <c r="E62" s="185">
        <f>+E61/E60</f>
        <v>1.0240963855421685</v>
      </c>
      <c r="F62" s="185" t="e">
        <f>+F61/F60</f>
        <v>#DIV/0!</v>
      </c>
      <c r="G62" s="185" t="e">
        <f>+G61/G60</f>
        <v>#DIV/0!</v>
      </c>
      <c r="H62" s="185" t="e">
        <f>+H61/H60</f>
        <v>#DIV/0!</v>
      </c>
      <c r="I62" s="185">
        <f>+I61/I60</f>
        <v>1.0240963855421685</v>
      </c>
      <c r="J62" s="5"/>
      <c r="K62" s="5"/>
    </row>
    <row r="63" spans="2:11" x14ac:dyDescent="0.25">
      <c r="B63" s="975"/>
      <c r="C63" s="92"/>
      <c r="D63" s="956"/>
      <c r="E63" s="957"/>
      <c r="F63" s="957"/>
      <c r="G63" s="957"/>
      <c r="H63" s="957"/>
      <c r="I63" s="958"/>
      <c r="J63" s="5"/>
      <c r="K63" s="5"/>
    </row>
    <row r="64" spans="2:11" x14ac:dyDescent="0.25">
      <c r="B64" s="975"/>
      <c r="C64" s="92"/>
      <c r="D64" s="1116" t="s">
        <v>1584</v>
      </c>
      <c r="E64" s="1117"/>
      <c r="F64" s="1117"/>
      <c r="G64" s="1117"/>
      <c r="H64" s="1117"/>
      <c r="I64" s="1118"/>
      <c r="J64" s="5"/>
      <c r="K64" s="5"/>
    </row>
    <row r="65" spans="2:11" ht="15.75" thickBot="1" x14ac:dyDescent="0.3">
      <c r="B65" s="975"/>
      <c r="C65" s="92"/>
      <c r="D65" s="962"/>
      <c r="E65" s="963"/>
      <c r="F65" s="963"/>
      <c r="G65" s="963"/>
      <c r="H65" s="963"/>
      <c r="I65" s="964"/>
      <c r="J65" s="5"/>
      <c r="K65" s="5"/>
    </row>
    <row r="66" spans="2:11" ht="15.75" thickBot="1" x14ac:dyDescent="0.3">
      <c r="B66" s="975"/>
      <c r="C66" s="94"/>
      <c r="D66" s="43" t="s">
        <v>763</v>
      </c>
      <c r="E66" s="38" t="s">
        <v>1575</v>
      </c>
      <c r="F66" s="5"/>
      <c r="G66" s="5"/>
      <c r="H66" s="5"/>
      <c r="I66" s="310"/>
      <c r="J66" s="5"/>
      <c r="K66" s="5"/>
    </row>
    <row r="67" spans="2:11" ht="24.75" thickBot="1" x14ac:dyDescent="0.3">
      <c r="B67" s="975"/>
      <c r="C67" s="94"/>
      <c r="D67" s="40" t="s">
        <v>2372</v>
      </c>
      <c r="E67" s="146">
        <v>76</v>
      </c>
      <c r="F67" s="5"/>
      <c r="G67" s="5"/>
      <c r="H67" s="5"/>
      <c r="I67" s="310"/>
      <c r="J67" s="5"/>
      <c r="K67" s="5"/>
    </row>
    <row r="68" spans="2:11" ht="24.75" thickBot="1" x14ac:dyDescent="0.3">
      <c r="B68" s="975"/>
      <c r="C68" s="94"/>
      <c r="D68" s="40" t="s">
        <v>2371</v>
      </c>
      <c r="E68" s="146">
        <v>76</v>
      </c>
      <c r="F68" s="5"/>
      <c r="G68" s="5"/>
      <c r="H68" s="5"/>
      <c r="I68" s="310"/>
      <c r="J68" s="5"/>
      <c r="K68" s="5"/>
    </row>
    <row r="69" spans="2:11" ht="24.75" thickBot="1" x14ac:dyDescent="0.3">
      <c r="B69" s="975"/>
      <c r="C69" s="94"/>
      <c r="D69" s="40" t="s">
        <v>2370</v>
      </c>
      <c r="E69" s="146">
        <v>76</v>
      </c>
      <c r="F69" s="5"/>
      <c r="G69" s="5"/>
      <c r="H69" s="5"/>
      <c r="I69" s="310"/>
      <c r="J69" s="5"/>
      <c r="K69" s="5"/>
    </row>
    <row r="70" spans="2:11" x14ac:dyDescent="0.25">
      <c r="B70" s="975"/>
      <c r="C70" s="92"/>
      <c r="D70" s="962"/>
      <c r="E70" s="963"/>
      <c r="F70" s="963"/>
      <c r="G70" s="963"/>
      <c r="H70" s="963"/>
      <c r="I70" s="964"/>
      <c r="J70" s="5"/>
      <c r="K70" s="5"/>
    </row>
    <row r="71" spans="2:11" x14ac:dyDescent="0.25">
      <c r="B71" s="975"/>
      <c r="C71" s="92"/>
      <c r="D71" s="962" t="s">
        <v>1585</v>
      </c>
      <c r="E71" s="963"/>
      <c r="F71" s="963"/>
      <c r="G71" s="963"/>
      <c r="H71" s="963"/>
      <c r="I71" s="964"/>
      <c r="J71" s="5"/>
      <c r="K71" s="5"/>
    </row>
    <row r="72" spans="2:11" ht="15.75" thickBot="1" x14ac:dyDescent="0.3">
      <c r="B72" s="975"/>
      <c r="C72" s="92"/>
      <c r="D72" s="986"/>
      <c r="E72" s="987"/>
      <c r="F72" s="987"/>
      <c r="G72" s="987"/>
      <c r="H72" s="987"/>
      <c r="I72" s="988"/>
      <c r="J72" s="5"/>
      <c r="K72" s="5"/>
    </row>
    <row r="73" spans="2:11" ht="15.75" thickBot="1" x14ac:dyDescent="0.3">
      <c r="B73" s="975"/>
      <c r="C73" s="94"/>
      <c r="D73" s="43" t="s">
        <v>763</v>
      </c>
      <c r="E73" s="38" t="s">
        <v>587</v>
      </c>
      <c r="F73" s="38" t="s">
        <v>588</v>
      </c>
      <c r="G73" s="38" t="s">
        <v>589</v>
      </c>
      <c r="H73" s="38" t="s">
        <v>590</v>
      </c>
      <c r="I73" s="90" t="s">
        <v>764</v>
      </c>
      <c r="J73" s="5"/>
      <c r="K73" s="5"/>
    </row>
    <row r="74" spans="2:11" ht="36.75" thickBot="1" x14ac:dyDescent="0.3">
      <c r="B74" s="975"/>
      <c r="C74" s="94"/>
      <c r="D74" s="40" t="s">
        <v>1586</v>
      </c>
      <c r="E74" s="146">
        <v>69</v>
      </c>
      <c r="F74" s="146"/>
      <c r="G74" s="146"/>
      <c r="H74" s="146"/>
      <c r="I74" s="312">
        <f>SUM(E74:H74)</f>
        <v>69</v>
      </c>
      <c r="J74" s="5"/>
      <c r="K74" s="5"/>
    </row>
    <row r="75" spans="2:11" ht="24.75" thickBot="1" x14ac:dyDescent="0.3">
      <c r="B75" s="975"/>
      <c r="C75" s="94"/>
      <c r="D75" s="40" t="s">
        <v>1587</v>
      </c>
      <c r="E75" s="146">
        <v>66</v>
      </c>
      <c r="F75" s="146"/>
      <c r="G75" s="146"/>
      <c r="H75" s="146"/>
      <c r="I75" s="312">
        <f>SUM(E75:H75)</f>
        <v>66</v>
      </c>
      <c r="J75" s="5"/>
      <c r="K75" s="5"/>
    </row>
    <row r="76" spans="2:11" ht="24.75" thickBot="1" x14ac:dyDescent="0.3">
      <c r="B76" s="975"/>
      <c r="C76" s="94"/>
      <c r="D76" s="40" t="s">
        <v>1588</v>
      </c>
      <c r="E76" s="185">
        <f>+E75/E74</f>
        <v>0.95652173913043481</v>
      </c>
      <c r="F76" s="185" t="e">
        <f>+F75/F74</f>
        <v>#DIV/0!</v>
      </c>
      <c r="G76" s="185" t="e">
        <f>+G75/G74</f>
        <v>#DIV/0!</v>
      </c>
      <c r="H76" s="185" t="e">
        <f>+H75/H74</f>
        <v>#DIV/0!</v>
      </c>
      <c r="I76" s="185">
        <f>+I75/I74</f>
        <v>0.95652173913043481</v>
      </c>
      <c r="J76" s="5"/>
      <c r="K76" s="5"/>
    </row>
    <row r="77" spans="2:11" ht="15.75" thickBot="1" x14ac:dyDescent="0.3">
      <c r="B77" s="975"/>
      <c r="C77" s="101"/>
      <c r="D77" s="130"/>
      <c r="E77" s="313"/>
      <c r="F77" s="313"/>
      <c r="G77" s="313"/>
      <c r="H77" s="313"/>
      <c r="I77" s="314"/>
      <c r="J77" s="5"/>
      <c r="K77" s="5"/>
    </row>
    <row r="78" spans="2:11" x14ac:dyDescent="0.25">
      <c r="B78" s="975"/>
      <c r="C78" s="92"/>
      <c r="D78" s="956" t="s">
        <v>1589</v>
      </c>
      <c r="E78" s="957"/>
      <c r="F78" s="957"/>
      <c r="G78" s="957"/>
      <c r="H78" s="957"/>
      <c r="I78" s="958"/>
      <c r="J78" s="5"/>
      <c r="K78" s="5"/>
    </row>
    <row r="79" spans="2:11" ht="15.75" thickBot="1" x14ac:dyDescent="0.3">
      <c r="B79" s="975"/>
      <c r="C79" s="92"/>
      <c r="D79" s="986"/>
      <c r="E79" s="987"/>
      <c r="F79" s="987"/>
      <c r="G79" s="987"/>
      <c r="H79" s="987"/>
      <c r="I79" s="988"/>
      <c r="J79" s="5"/>
      <c r="K79" s="5"/>
    </row>
    <row r="80" spans="2:11" ht="15.75" thickBot="1" x14ac:dyDescent="0.3">
      <c r="B80" s="975"/>
      <c r="C80" s="94"/>
      <c r="D80" s="43" t="s">
        <v>763</v>
      </c>
      <c r="E80" s="38" t="s">
        <v>587</v>
      </c>
      <c r="F80" s="38" t="s">
        <v>588</v>
      </c>
      <c r="G80" s="38" t="s">
        <v>589</v>
      </c>
      <c r="H80" s="38" t="s">
        <v>590</v>
      </c>
      <c r="I80" s="90" t="s">
        <v>764</v>
      </c>
      <c r="J80" s="5"/>
      <c r="K80" s="5"/>
    </row>
    <row r="81" spans="2:11" ht="24.75" thickBot="1" x14ac:dyDescent="0.3">
      <c r="B81" s="975"/>
      <c r="C81" s="94"/>
      <c r="D81" s="40" t="s">
        <v>1590</v>
      </c>
      <c r="E81" s="146"/>
      <c r="F81" s="146"/>
      <c r="G81" s="146"/>
      <c r="H81" s="146"/>
      <c r="I81" s="312">
        <f>SUM(E81:H81)</f>
        <v>0</v>
      </c>
      <c r="J81" s="5"/>
      <c r="K81" s="5"/>
    </row>
    <row r="82" spans="2:11" ht="24.75" thickBot="1" x14ac:dyDescent="0.3">
      <c r="B82" s="975"/>
      <c r="C82" s="94"/>
      <c r="D82" s="40" t="s">
        <v>1591</v>
      </c>
      <c r="E82" s="146"/>
      <c r="F82" s="146"/>
      <c r="G82" s="146"/>
      <c r="H82" s="146"/>
      <c r="I82" s="312">
        <f>SUM(E82:H82)</f>
        <v>0</v>
      </c>
      <c r="J82" s="5"/>
      <c r="K82" s="5"/>
    </row>
    <row r="83" spans="2:11" ht="24.75" thickBot="1" x14ac:dyDescent="0.3">
      <c r="B83" s="975"/>
      <c r="C83" s="94"/>
      <c r="D83" s="40" t="s">
        <v>1592</v>
      </c>
      <c r="E83" s="185" t="e">
        <f>+E82/E81</f>
        <v>#DIV/0!</v>
      </c>
      <c r="F83" s="185" t="e">
        <f>+F82/F81</f>
        <v>#DIV/0!</v>
      </c>
      <c r="G83" s="185" t="e">
        <f>+G82/G81</f>
        <v>#DIV/0!</v>
      </c>
      <c r="H83" s="185" t="e">
        <f>+H82/H81</f>
        <v>#DIV/0!</v>
      </c>
      <c r="I83" s="185" t="e">
        <f>+I82/I81</f>
        <v>#DIV/0!</v>
      </c>
      <c r="J83" s="5"/>
      <c r="K83" s="5"/>
    </row>
    <row r="84" spans="2:11" x14ac:dyDescent="0.25">
      <c r="B84" s="975"/>
      <c r="C84" s="92"/>
      <c r="D84" s="956"/>
      <c r="E84" s="957"/>
      <c r="F84" s="957"/>
      <c r="G84" s="957"/>
      <c r="H84" s="957"/>
      <c r="I84" s="958"/>
      <c r="J84" s="5"/>
      <c r="K84" s="5"/>
    </row>
    <row r="85" spans="2:11" ht="15.75" thickBot="1" x14ac:dyDescent="0.3">
      <c r="B85" s="975"/>
      <c r="C85" s="92"/>
      <c r="D85" s="1116" t="s">
        <v>1593</v>
      </c>
      <c r="E85" s="1117"/>
      <c r="F85" s="1117"/>
      <c r="G85" s="1117"/>
      <c r="H85" s="1117"/>
      <c r="I85" s="1118"/>
      <c r="J85" s="5"/>
      <c r="K85" s="5"/>
    </row>
    <row r="86" spans="2:11" ht="15.75" thickBot="1" x14ac:dyDescent="0.3">
      <c r="B86" s="975"/>
      <c r="C86" s="94"/>
      <c r="D86" s="43" t="s">
        <v>763</v>
      </c>
      <c r="E86" s="38" t="s">
        <v>1575</v>
      </c>
      <c r="F86" s="5"/>
      <c r="G86" s="5"/>
      <c r="H86" s="5"/>
      <c r="I86" s="310"/>
      <c r="J86" s="5"/>
      <c r="K86" s="5"/>
    </row>
    <row r="87" spans="2:11" ht="24.75" thickBot="1" x14ac:dyDescent="0.3">
      <c r="B87" s="975"/>
      <c r="C87" s="94"/>
      <c r="D87" s="40" t="s">
        <v>2369</v>
      </c>
      <c r="E87" s="146">
        <v>102</v>
      </c>
      <c r="F87" s="5"/>
      <c r="G87" s="5"/>
      <c r="H87" s="5"/>
      <c r="I87" s="310"/>
      <c r="J87" s="5"/>
      <c r="K87" s="5"/>
    </row>
    <row r="88" spans="2:11" ht="24.75" thickBot="1" x14ac:dyDescent="0.3">
      <c r="B88" s="975"/>
      <c r="C88" s="94"/>
      <c r="D88" s="40" t="s">
        <v>2368</v>
      </c>
      <c r="E88" s="146">
        <v>102</v>
      </c>
      <c r="F88" s="5"/>
      <c r="G88" s="5"/>
      <c r="H88" s="5"/>
      <c r="I88" s="310"/>
      <c r="J88" s="5"/>
      <c r="K88" s="5"/>
    </row>
    <row r="89" spans="2:11" x14ac:dyDescent="0.25">
      <c r="B89" s="975"/>
      <c r="C89" s="92"/>
      <c r="D89" s="962"/>
      <c r="E89" s="963"/>
      <c r="F89" s="963"/>
      <c r="G89" s="963"/>
      <c r="H89" s="963"/>
      <c r="I89" s="964"/>
      <c r="J89" s="5"/>
      <c r="K89" s="5"/>
    </row>
    <row r="90" spans="2:11" ht="15.75" thickBot="1" x14ac:dyDescent="0.3">
      <c r="B90" s="975"/>
      <c r="C90" s="92"/>
      <c r="D90" s="986" t="s">
        <v>1594</v>
      </c>
      <c r="E90" s="987"/>
      <c r="F90" s="987"/>
      <c r="G90" s="987"/>
      <c r="H90" s="987"/>
      <c r="I90" s="988"/>
      <c r="J90" s="5"/>
      <c r="K90" s="5"/>
    </row>
    <row r="91" spans="2:11" ht="15.75" thickBot="1" x14ac:dyDescent="0.3">
      <c r="B91" s="975"/>
      <c r="C91" s="94"/>
      <c r="D91" s="43" t="s">
        <v>763</v>
      </c>
      <c r="E91" s="38" t="s">
        <v>587</v>
      </c>
      <c r="F91" s="38" t="s">
        <v>588</v>
      </c>
      <c r="G91" s="38" t="s">
        <v>589</v>
      </c>
      <c r="H91" s="38" t="s">
        <v>590</v>
      </c>
      <c r="I91" s="90" t="s">
        <v>764</v>
      </c>
      <c r="J91" s="5"/>
      <c r="K91" s="5"/>
    </row>
    <row r="92" spans="2:11" ht="36.75" thickBot="1" x14ac:dyDescent="0.3">
      <c r="B92" s="975"/>
      <c r="C92" s="94"/>
      <c r="D92" s="40" t="s">
        <v>1595</v>
      </c>
      <c r="E92" s="146">
        <v>140</v>
      </c>
      <c r="F92" s="146"/>
      <c r="G92" s="146"/>
      <c r="H92" s="146"/>
      <c r="I92" s="312">
        <f>SUM(E92:H92)</f>
        <v>140</v>
      </c>
      <c r="J92" s="5"/>
      <c r="K92" s="5"/>
    </row>
    <row r="93" spans="2:11" ht="24.75" thickBot="1" x14ac:dyDescent="0.3">
      <c r="B93" s="975"/>
      <c r="C93" s="94"/>
      <c r="D93" s="40" t="s">
        <v>1596</v>
      </c>
      <c r="E93" s="146">
        <v>140</v>
      </c>
      <c r="F93" s="146"/>
      <c r="G93" s="146"/>
      <c r="H93" s="146"/>
      <c r="I93" s="312">
        <f>SUM(E93:H93)</f>
        <v>140</v>
      </c>
      <c r="J93" s="5"/>
      <c r="K93" s="5"/>
    </row>
    <row r="94" spans="2:11" ht="36.75" thickBot="1" x14ac:dyDescent="0.3">
      <c r="B94" s="975"/>
      <c r="C94" s="94"/>
      <c r="D94" s="40" t="s">
        <v>1597</v>
      </c>
      <c r="E94" s="185">
        <f>+E93/E92</f>
        <v>1</v>
      </c>
      <c r="F94" s="185" t="e">
        <f>+F93/F92</f>
        <v>#DIV/0!</v>
      </c>
      <c r="G94" s="185" t="e">
        <f>+G93/G92</f>
        <v>#DIV/0!</v>
      </c>
      <c r="H94" s="185" t="e">
        <f>+H93/H92</f>
        <v>#DIV/0!</v>
      </c>
      <c r="I94" s="185">
        <f>+I93/I92</f>
        <v>1</v>
      </c>
      <c r="J94" s="5"/>
      <c r="K94" s="5"/>
    </row>
    <row r="95" spans="2:11" x14ac:dyDescent="0.25">
      <c r="B95" s="975"/>
      <c r="C95" s="92"/>
      <c r="D95" s="956"/>
      <c r="E95" s="957"/>
      <c r="F95" s="957"/>
      <c r="G95" s="957"/>
      <c r="H95" s="957"/>
      <c r="I95" s="958"/>
      <c r="J95" s="5"/>
      <c r="K95" s="5"/>
    </row>
    <row r="96" spans="2:11" x14ac:dyDescent="0.25">
      <c r="B96" s="975"/>
      <c r="C96" s="92"/>
      <c r="D96" s="962" t="s">
        <v>1598</v>
      </c>
      <c r="E96" s="963"/>
      <c r="F96" s="963"/>
      <c r="G96" s="963"/>
      <c r="H96" s="963"/>
      <c r="I96" s="964"/>
      <c r="J96" s="5"/>
      <c r="K96" s="5"/>
    </row>
    <row r="97" spans="2:11" ht="15.75" thickBot="1" x14ac:dyDescent="0.3">
      <c r="B97" s="975"/>
      <c r="C97" s="92"/>
      <c r="D97" s="986"/>
      <c r="E97" s="987"/>
      <c r="F97" s="987"/>
      <c r="G97" s="987"/>
      <c r="H97" s="987"/>
      <c r="I97" s="988"/>
      <c r="J97" s="5"/>
      <c r="K97" s="5"/>
    </row>
    <row r="98" spans="2:11" ht="15.75" thickBot="1" x14ac:dyDescent="0.3">
      <c r="B98" s="975"/>
      <c r="C98" s="94"/>
      <c r="D98" s="43" t="s">
        <v>763</v>
      </c>
      <c r="E98" s="38" t="s">
        <v>587</v>
      </c>
      <c r="F98" s="38" t="s">
        <v>588</v>
      </c>
      <c r="G98" s="38" t="s">
        <v>589</v>
      </c>
      <c r="H98" s="38" t="s">
        <v>590</v>
      </c>
      <c r="I98" s="90" t="s">
        <v>764</v>
      </c>
      <c r="J98" s="5"/>
      <c r="K98" s="5"/>
    </row>
    <row r="99" spans="2:11" ht="24.75" thickBot="1" x14ac:dyDescent="0.3">
      <c r="B99" s="975"/>
      <c r="C99" s="94"/>
      <c r="D99" s="40" t="s">
        <v>1599</v>
      </c>
      <c r="E99" s="146"/>
      <c r="F99" s="146"/>
      <c r="G99" s="146"/>
      <c r="H99" s="146"/>
      <c r="I99" s="312">
        <f>SUM(E99:H99)</f>
        <v>0</v>
      </c>
      <c r="J99" s="5"/>
      <c r="K99" s="5"/>
    </row>
    <row r="100" spans="2:11" ht="24.75" thickBot="1" x14ac:dyDescent="0.3">
      <c r="B100" s="975"/>
      <c r="C100" s="94"/>
      <c r="D100" s="40" t="s">
        <v>1600</v>
      </c>
      <c r="E100" s="146"/>
      <c r="F100" s="146"/>
      <c r="G100" s="146"/>
      <c r="H100" s="146"/>
      <c r="I100" s="312">
        <f>SUM(E100:H100)</f>
        <v>0</v>
      </c>
      <c r="J100" s="5"/>
      <c r="K100" s="5"/>
    </row>
    <row r="101" spans="2:11" ht="36.75" thickBot="1" x14ac:dyDescent="0.3">
      <c r="B101" s="975"/>
      <c r="C101" s="94"/>
      <c r="D101" s="40" t="s">
        <v>1601</v>
      </c>
      <c r="E101" s="185" t="e">
        <f>+E100/E99</f>
        <v>#DIV/0!</v>
      </c>
      <c r="F101" s="185" t="e">
        <f>+F100/F99</f>
        <v>#DIV/0!</v>
      </c>
      <c r="G101" s="185" t="e">
        <f>+G100/G99</f>
        <v>#DIV/0!</v>
      </c>
      <c r="H101" s="185" t="e">
        <f>+H100/H99</f>
        <v>#DIV/0!</v>
      </c>
      <c r="I101" s="185" t="e">
        <f>+I100/I99</f>
        <v>#DIV/0!</v>
      </c>
      <c r="J101" s="5"/>
      <c r="K101" s="5"/>
    </row>
    <row r="102" spans="2:11" x14ac:dyDescent="0.25">
      <c r="B102" s="975"/>
      <c r="C102" s="92"/>
      <c r="D102" s="956"/>
      <c r="E102" s="957"/>
      <c r="F102" s="957"/>
      <c r="G102" s="957"/>
      <c r="H102" s="957"/>
      <c r="I102" s="958"/>
      <c r="J102" s="5"/>
      <c r="K102" s="5"/>
    </row>
    <row r="103" spans="2:11" x14ac:dyDescent="0.25">
      <c r="B103" s="975"/>
      <c r="C103" s="92"/>
      <c r="D103" s="1116" t="s">
        <v>1602</v>
      </c>
      <c r="E103" s="1117"/>
      <c r="F103" s="1117"/>
      <c r="G103" s="1117"/>
      <c r="H103" s="1117"/>
      <c r="I103" s="1118"/>
      <c r="J103" s="5"/>
      <c r="K103" s="5"/>
    </row>
    <row r="104" spans="2:11" ht="15.75" thickBot="1" x14ac:dyDescent="0.3">
      <c r="B104" s="975"/>
      <c r="C104" s="92"/>
      <c r="D104" s="962"/>
      <c r="E104" s="963"/>
      <c r="F104" s="963"/>
      <c r="G104" s="963"/>
      <c r="H104" s="963"/>
      <c r="I104" s="964"/>
      <c r="J104" s="5"/>
      <c r="K104" s="5"/>
    </row>
    <row r="105" spans="2:11" ht="15.75" thickBot="1" x14ac:dyDescent="0.3">
      <c r="B105" s="975"/>
      <c r="C105" s="94"/>
      <c r="D105" s="43" t="s">
        <v>763</v>
      </c>
      <c r="E105" s="38" t="s">
        <v>1575</v>
      </c>
      <c r="F105" s="5"/>
      <c r="G105" s="5"/>
      <c r="H105" s="5"/>
      <c r="I105" s="310"/>
      <c r="J105" s="5"/>
      <c r="K105" s="5"/>
    </row>
    <row r="106" spans="2:11" ht="24.75" thickBot="1" x14ac:dyDescent="0.3">
      <c r="B106" s="975"/>
      <c r="C106" s="94"/>
      <c r="D106" s="40" t="s">
        <v>1603</v>
      </c>
      <c r="E106" s="146">
        <v>39</v>
      </c>
      <c r="F106" s="5"/>
      <c r="G106" s="5"/>
      <c r="H106" s="5"/>
      <c r="I106" s="310"/>
      <c r="J106" s="5"/>
      <c r="K106" s="5"/>
    </row>
    <row r="107" spans="2:11" ht="24.75" thickBot="1" x14ac:dyDescent="0.3">
      <c r="B107" s="975"/>
      <c r="C107" s="94"/>
      <c r="D107" s="40" t="s">
        <v>1604</v>
      </c>
      <c r="E107" s="146">
        <v>34</v>
      </c>
      <c r="F107" s="5"/>
      <c r="G107" s="5"/>
      <c r="H107" s="5"/>
      <c r="I107" s="310"/>
      <c r="J107" s="5"/>
      <c r="K107" s="5"/>
    </row>
    <row r="108" spans="2:11" x14ac:dyDescent="0.25">
      <c r="B108" s="975"/>
      <c r="C108" s="92"/>
      <c r="D108" s="962"/>
      <c r="E108" s="963"/>
      <c r="F108" s="963"/>
      <c r="G108" s="963"/>
      <c r="H108" s="963"/>
      <c r="I108" s="964"/>
      <c r="J108" s="5"/>
      <c r="K108" s="5"/>
    </row>
    <row r="109" spans="2:11" x14ac:dyDescent="0.25">
      <c r="B109" s="975"/>
      <c r="C109" s="92"/>
      <c r="D109" s="962" t="s">
        <v>1605</v>
      </c>
      <c r="E109" s="963"/>
      <c r="F109" s="963"/>
      <c r="G109" s="963"/>
      <c r="H109" s="963"/>
      <c r="I109" s="964"/>
      <c r="J109" s="5"/>
      <c r="K109" s="5"/>
    </row>
    <row r="110" spans="2:11" ht="15.75" thickBot="1" x14ac:dyDescent="0.3">
      <c r="B110" s="975"/>
      <c r="C110" s="92"/>
      <c r="D110" s="986"/>
      <c r="E110" s="987"/>
      <c r="F110" s="987"/>
      <c r="G110" s="987"/>
      <c r="H110" s="987"/>
      <c r="I110" s="988"/>
      <c r="J110" s="5"/>
      <c r="K110" s="5"/>
    </row>
    <row r="111" spans="2:11" ht="15.75" thickBot="1" x14ac:dyDescent="0.3">
      <c r="B111" s="975"/>
      <c r="C111" s="94"/>
      <c r="D111" s="43" t="s">
        <v>763</v>
      </c>
      <c r="E111" s="38" t="s">
        <v>587</v>
      </c>
      <c r="F111" s="38" t="s">
        <v>588</v>
      </c>
      <c r="G111" s="38" t="s">
        <v>589</v>
      </c>
      <c r="H111" s="38" t="s">
        <v>590</v>
      </c>
      <c r="I111" s="90" t="s">
        <v>764</v>
      </c>
      <c r="J111" s="5"/>
      <c r="K111" s="5"/>
    </row>
    <row r="112" spans="2:11" ht="36.75" thickBot="1" x14ac:dyDescent="0.3">
      <c r="B112" s="975"/>
      <c r="C112" s="94"/>
      <c r="D112" s="40" t="s">
        <v>1606</v>
      </c>
      <c r="E112" s="146">
        <v>30</v>
      </c>
      <c r="F112" s="146"/>
      <c r="G112" s="146"/>
      <c r="H112" s="146"/>
      <c r="I112" s="312">
        <f>SUM(E112:H112)</f>
        <v>30</v>
      </c>
      <c r="J112" s="5"/>
      <c r="K112" s="5"/>
    </row>
    <row r="113" spans="2:11" ht="24.75" thickBot="1" x14ac:dyDescent="0.3">
      <c r="B113" s="975"/>
      <c r="C113" s="94"/>
      <c r="D113" s="40" t="s">
        <v>1607</v>
      </c>
      <c r="E113" s="146">
        <v>30</v>
      </c>
      <c r="F113" s="146"/>
      <c r="G113" s="146"/>
      <c r="H113" s="146"/>
      <c r="I113" s="312">
        <f>SUM(E113:H113)</f>
        <v>30</v>
      </c>
      <c r="J113" s="5"/>
      <c r="K113" s="5"/>
    </row>
    <row r="114" spans="2:11" ht="24.75" thickBot="1" x14ac:dyDescent="0.3">
      <c r="B114" s="976"/>
      <c r="C114" s="2"/>
      <c r="D114" s="40" t="s">
        <v>1608</v>
      </c>
      <c r="E114" s="185">
        <f>+E113/E112</f>
        <v>1</v>
      </c>
      <c r="F114" s="185" t="e">
        <f>+F113/F112</f>
        <v>#DIV/0!</v>
      </c>
      <c r="G114" s="185" t="e">
        <f>+G113/G112</f>
        <v>#DIV/0!</v>
      </c>
      <c r="H114" s="185" t="e">
        <f>+H113/H112</f>
        <v>#DIV/0!</v>
      </c>
      <c r="I114" s="185">
        <f>+I113/I112</f>
        <v>1</v>
      </c>
      <c r="J114" s="5"/>
      <c r="K114" s="5"/>
    </row>
    <row r="115" spans="2:11" ht="15.75" thickBot="1" x14ac:dyDescent="0.3">
      <c r="B115" s="37"/>
      <c r="C115" s="88"/>
      <c r="D115" s="5"/>
      <c r="E115" s="5"/>
      <c r="F115" s="5"/>
      <c r="G115" s="5"/>
      <c r="H115" s="5"/>
      <c r="I115" s="87"/>
      <c r="J115" s="5"/>
      <c r="K115" s="5"/>
    </row>
    <row r="116" spans="2:11" ht="24.75" thickBot="1" x14ac:dyDescent="0.3">
      <c r="B116" s="37"/>
      <c r="C116" s="88"/>
      <c r="D116" s="52" t="s">
        <v>1529</v>
      </c>
      <c r="E116" s="52" t="s">
        <v>1609</v>
      </c>
      <c r="F116" s="52" t="s">
        <v>1329</v>
      </c>
      <c r="G116" s="52" t="s">
        <v>1610</v>
      </c>
      <c r="H116" s="5"/>
      <c r="I116" s="87"/>
      <c r="J116" s="5"/>
      <c r="K116" s="5"/>
    </row>
    <row r="117" spans="2:11" ht="24.75" thickBot="1" x14ac:dyDescent="0.3">
      <c r="B117" s="37"/>
      <c r="C117" s="88"/>
      <c r="D117" s="52" t="str">
        <f>+D24</f>
        <v>Porcentaje de licencias ambientales con seguimiento (PLACS)</v>
      </c>
      <c r="E117" s="185">
        <f>+E24</f>
        <v>1</v>
      </c>
      <c r="F117" s="308">
        <v>0.3</v>
      </c>
      <c r="G117" s="185">
        <f>+E117*F117</f>
        <v>0.3</v>
      </c>
      <c r="H117" s="5"/>
      <c r="I117" s="87"/>
      <c r="J117" s="5"/>
      <c r="K117" s="5"/>
    </row>
    <row r="118" spans="2:11" ht="24.75" thickBot="1" x14ac:dyDescent="0.3">
      <c r="B118" s="37"/>
      <c r="C118" s="88"/>
      <c r="D118" s="52" t="str">
        <f>+D55</f>
        <v>Porcentaje de concesiones de agua con seguimiento (PCACS)</v>
      </c>
      <c r="E118" s="185">
        <f>+E55</f>
        <v>1.0294117647058822</v>
      </c>
      <c r="F118" s="308">
        <v>0.2</v>
      </c>
      <c r="G118" s="185">
        <f>+E118*F118</f>
        <v>0.20588235294117646</v>
      </c>
      <c r="H118" s="5"/>
      <c r="I118" s="87"/>
      <c r="J118" s="5"/>
      <c r="K118" s="5"/>
    </row>
    <row r="119" spans="2:11" ht="24.75" thickBot="1" x14ac:dyDescent="0.3">
      <c r="B119" s="37"/>
      <c r="C119" s="88"/>
      <c r="D119" s="52" t="str">
        <f>+D76</f>
        <v>Porcentaje de permisos de vertimiento de agua con seguimiento (PVACS)</v>
      </c>
      <c r="E119" s="185">
        <f>+E76</f>
        <v>0.95652173913043481</v>
      </c>
      <c r="F119" s="308">
        <v>0.2</v>
      </c>
      <c r="G119" s="185">
        <f>+E119*F119</f>
        <v>0.19130434782608696</v>
      </c>
      <c r="H119" s="5"/>
      <c r="I119" s="87"/>
      <c r="J119" s="5"/>
      <c r="K119" s="5"/>
    </row>
    <row r="120" spans="2:11" ht="36.75" thickBot="1" x14ac:dyDescent="0.3">
      <c r="B120" s="37"/>
      <c r="C120" s="88"/>
      <c r="D120" s="52" t="str">
        <f>+D94</f>
        <v>Porcentaje de permisos de aprovechamiento forestal con seguimiento (PPAFCS)</v>
      </c>
      <c r="E120" s="185">
        <f>+E94</f>
        <v>1</v>
      </c>
      <c r="F120" s="308">
        <v>0.2</v>
      </c>
      <c r="G120" s="185">
        <f>+E120*F120</f>
        <v>0.2</v>
      </c>
      <c r="H120" s="5"/>
      <c r="I120" s="87"/>
      <c r="J120" s="5"/>
      <c r="K120" s="5"/>
    </row>
    <row r="121" spans="2:11" ht="24.75" thickBot="1" x14ac:dyDescent="0.3">
      <c r="B121" s="37"/>
      <c r="C121" s="88"/>
      <c r="D121" s="52" t="str">
        <f>+D114</f>
        <v>Porcentaje de permisos de emisiones atmosféricas con seguimiento (PEACS)</v>
      </c>
      <c r="E121" s="185">
        <f>+E114</f>
        <v>1</v>
      </c>
      <c r="F121" s="308">
        <v>0.1</v>
      </c>
      <c r="G121" s="185">
        <f>+E121*F121</f>
        <v>0.1</v>
      </c>
      <c r="H121" s="5"/>
      <c r="I121" s="87"/>
      <c r="J121" s="5"/>
      <c r="K121" s="5"/>
    </row>
    <row r="122" spans="2:11" ht="24.75" thickBot="1" x14ac:dyDescent="0.3">
      <c r="B122" s="37"/>
      <c r="C122" s="88"/>
      <c r="D122" s="52" t="s">
        <v>1533</v>
      </c>
      <c r="E122" s="52"/>
      <c r="F122" s="309">
        <f>+[5]Formulas!D26</f>
        <v>0.99999999999999989</v>
      </c>
      <c r="G122" s="185">
        <f>SUM(G117:G121)</f>
        <v>0.99718670076726335</v>
      </c>
      <c r="H122" s="5"/>
      <c r="I122" s="87"/>
      <c r="J122" s="5"/>
      <c r="K122" s="5"/>
    </row>
    <row r="123" spans="2:11" ht="15.75" thickBot="1" x14ac:dyDescent="0.3">
      <c r="B123" s="37"/>
      <c r="C123" s="88"/>
      <c r="D123" s="5"/>
      <c r="E123" s="5"/>
      <c r="F123" s="5"/>
      <c r="G123" s="5"/>
      <c r="H123" s="5"/>
      <c r="I123" s="87"/>
      <c r="J123" s="5"/>
      <c r="K123" s="5"/>
    </row>
    <row r="124" spans="2:11" ht="108.75" thickBot="1" x14ac:dyDescent="0.3">
      <c r="B124" s="52" t="s">
        <v>671</v>
      </c>
      <c r="C124" s="98"/>
      <c r="D124" s="43" t="s">
        <v>1611</v>
      </c>
      <c r="E124" s="5"/>
      <c r="F124" s="5"/>
      <c r="G124" s="5"/>
      <c r="H124" s="5"/>
      <c r="I124" s="87"/>
      <c r="J124" s="5"/>
      <c r="K124" s="5"/>
    </row>
    <row r="125" spans="2:11" ht="72.75" thickBot="1" x14ac:dyDescent="0.3">
      <c r="B125" s="47" t="s">
        <v>673</v>
      </c>
      <c r="C125" s="2"/>
      <c r="D125" s="40" t="s">
        <v>772</v>
      </c>
      <c r="E125" s="5"/>
      <c r="F125" s="5"/>
      <c r="G125" s="5"/>
      <c r="H125" s="5"/>
      <c r="I125" s="87"/>
      <c r="J125" s="5"/>
      <c r="K125" s="5"/>
    </row>
    <row r="126" spans="2:11" ht="15.75" thickBot="1" x14ac:dyDescent="0.3">
      <c r="B126" s="1"/>
      <c r="C126" s="76"/>
      <c r="D126" s="5"/>
      <c r="E126" s="5"/>
      <c r="F126" s="5"/>
      <c r="G126" s="5"/>
      <c r="H126" s="5"/>
      <c r="I126" s="87"/>
      <c r="J126" s="5"/>
      <c r="K126" s="5"/>
    </row>
    <row r="127" spans="2:11" ht="24" customHeight="1" thickBot="1" x14ac:dyDescent="0.3">
      <c r="B127" s="971" t="s">
        <v>675</v>
      </c>
      <c r="C127" s="972"/>
      <c r="D127" s="972"/>
      <c r="E127" s="973"/>
      <c r="F127" s="5"/>
      <c r="G127" s="5"/>
      <c r="H127" s="5"/>
      <c r="I127" s="87"/>
      <c r="J127" s="5"/>
      <c r="K127" s="5"/>
    </row>
    <row r="128" spans="2:11" ht="48.75" thickBot="1" x14ac:dyDescent="0.3">
      <c r="B128" s="974">
        <v>1</v>
      </c>
      <c r="C128" s="94"/>
      <c r="D128" s="48" t="s">
        <v>676</v>
      </c>
      <c r="E128" s="337" t="s">
        <v>2301</v>
      </c>
      <c r="F128" s="5"/>
      <c r="G128" s="5"/>
      <c r="H128" s="5"/>
      <c r="I128" s="87"/>
      <c r="J128" s="5"/>
      <c r="K128" s="5"/>
    </row>
    <row r="129" spans="2:11" ht="48.75" thickBot="1" x14ac:dyDescent="0.3">
      <c r="B129" s="975"/>
      <c r="C129" s="94"/>
      <c r="D129" s="40" t="s">
        <v>525</v>
      </c>
      <c r="E129" s="337" t="s">
        <v>2311</v>
      </c>
      <c r="F129" s="5"/>
      <c r="G129" s="5"/>
      <c r="H129" s="5"/>
      <c r="I129" s="87"/>
      <c r="J129" s="5"/>
      <c r="K129" s="5"/>
    </row>
    <row r="130" spans="2:11" ht="36.75" thickBot="1" x14ac:dyDescent="0.3">
      <c r="B130" s="975"/>
      <c r="C130" s="94"/>
      <c r="D130" s="40" t="s">
        <v>677</v>
      </c>
      <c r="E130" s="337" t="s">
        <v>2303</v>
      </c>
      <c r="F130" s="5"/>
      <c r="G130" s="5"/>
      <c r="H130" s="5"/>
      <c r="I130" s="87"/>
      <c r="J130" s="5"/>
      <c r="K130" s="5"/>
    </row>
    <row r="131" spans="2:11" ht="15.75" thickBot="1" x14ac:dyDescent="0.3">
      <c r="B131" s="975"/>
      <c r="C131" s="94"/>
      <c r="D131" s="40" t="s">
        <v>527</v>
      </c>
      <c r="E131" s="337" t="s">
        <v>2304</v>
      </c>
      <c r="F131" s="5"/>
      <c r="G131" s="5"/>
      <c r="H131" s="5"/>
      <c r="I131" s="87"/>
      <c r="J131" s="5"/>
      <c r="K131" s="5"/>
    </row>
    <row r="132" spans="2:11" ht="60.75" thickBot="1" x14ac:dyDescent="0.3">
      <c r="B132" s="975"/>
      <c r="C132" s="94"/>
      <c r="D132" s="40" t="s">
        <v>529</v>
      </c>
      <c r="E132" s="766" t="s">
        <v>2309</v>
      </c>
      <c r="F132" s="5"/>
      <c r="G132" s="5"/>
      <c r="H132" s="5"/>
      <c r="I132" s="87"/>
      <c r="J132" s="5"/>
      <c r="K132" s="5"/>
    </row>
    <row r="133" spans="2:11" ht="15.75" thickBot="1" x14ac:dyDescent="0.3">
      <c r="B133" s="975"/>
      <c r="C133" s="94"/>
      <c r="D133" s="40" t="s">
        <v>531</v>
      </c>
      <c r="E133" s="337">
        <v>5748960</v>
      </c>
      <c r="F133" s="5"/>
      <c r="G133" s="5"/>
      <c r="H133" s="5"/>
      <c r="I133" s="87"/>
      <c r="J133" s="5"/>
      <c r="K133" s="5"/>
    </row>
    <row r="134" spans="2:11" ht="60.75" thickBot="1" x14ac:dyDescent="0.3">
      <c r="B134" s="976"/>
      <c r="C134" s="2"/>
      <c r="D134" s="40" t="s">
        <v>678</v>
      </c>
      <c r="E134" s="337" t="s">
        <v>2312</v>
      </c>
      <c r="F134" s="5"/>
      <c r="G134" s="5"/>
      <c r="H134" s="5"/>
      <c r="I134" s="87"/>
      <c r="J134" s="5"/>
      <c r="K134" s="5"/>
    </row>
    <row r="135" spans="2:11" ht="15.75" thickBot="1" x14ac:dyDescent="0.3">
      <c r="B135" s="1"/>
      <c r="C135" s="76"/>
      <c r="D135" s="5"/>
      <c r="E135" s="5"/>
      <c r="F135" s="5"/>
      <c r="G135" s="5"/>
      <c r="H135" s="5"/>
      <c r="I135" s="87"/>
      <c r="J135" s="5"/>
      <c r="K135" s="5"/>
    </row>
    <row r="136" spans="2:11" ht="15.75" thickBot="1" x14ac:dyDescent="0.3">
      <c r="B136" s="971" t="s">
        <v>679</v>
      </c>
      <c r="C136" s="972"/>
      <c r="D136" s="972"/>
      <c r="E136" s="973"/>
      <c r="F136" s="5"/>
      <c r="G136" s="5"/>
      <c r="H136" s="5"/>
      <c r="I136" s="87"/>
      <c r="J136" s="5"/>
      <c r="K136" s="5"/>
    </row>
    <row r="137" spans="2:11" ht="15.75" thickBot="1" x14ac:dyDescent="0.3">
      <c r="B137" s="974">
        <v>1</v>
      </c>
      <c r="C137" s="94"/>
      <c r="D137" s="48" t="s">
        <v>676</v>
      </c>
      <c r="E137" s="219" t="s">
        <v>680</v>
      </c>
      <c r="F137" s="5"/>
      <c r="G137" s="5"/>
      <c r="H137" s="5"/>
      <c r="I137" s="87"/>
      <c r="J137" s="5"/>
      <c r="K137" s="5"/>
    </row>
    <row r="138" spans="2:11" ht="15.75" thickBot="1" x14ac:dyDescent="0.3">
      <c r="B138" s="975"/>
      <c r="C138" s="94"/>
      <c r="D138" s="40" t="s">
        <v>525</v>
      </c>
      <c r="E138" s="219" t="s">
        <v>773</v>
      </c>
      <c r="F138" s="5"/>
      <c r="G138" s="5"/>
      <c r="H138" s="5"/>
      <c r="I138" s="87"/>
      <c r="J138" s="5"/>
      <c r="K138" s="5"/>
    </row>
    <row r="139" spans="2:11" ht="15.75" thickBot="1" x14ac:dyDescent="0.3">
      <c r="B139" s="975"/>
      <c r="C139" s="94"/>
      <c r="D139" s="40" t="s">
        <v>677</v>
      </c>
      <c r="E139" s="165"/>
      <c r="F139" s="5"/>
      <c r="G139" s="5"/>
      <c r="H139" s="5"/>
      <c r="I139" s="87"/>
      <c r="J139" s="5"/>
      <c r="K139" s="5"/>
    </row>
    <row r="140" spans="2:11" ht="15.75" thickBot="1" x14ac:dyDescent="0.3">
      <c r="B140" s="975"/>
      <c r="C140" s="94"/>
      <c r="D140" s="40" t="s">
        <v>527</v>
      </c>
      <c r="E140" s="165"/>
      <c r="F140" s="5"/>
      <c r="G140" s="5"/>
      <c r="H140" s="5"/>
      <c r="I140" s="87"/>
      <c r="J140" s="5"/>
      <c r="K140" s="5"/>
    </row>
    <row r="141" spans="2:11" ht="15.75" thickBot="1" x14ac:dyDescent="0.3">
      <c r="B141" s="975"/>
      <c r="C141" s="94"/>
      <c r="D141" s="40" t="s">
        <v>529</v>
      </c>
      <c r="E141" s="165"/>
      <c r="F141" s="5"/>
      <c r="G141" s="5"/>
      <c r="H141" s="5"/>
      <c r="I141" s="87"/>
      <c r="J141" s="5"/>
      <c r="K141" s="5"/>
    </row>
    <row r="142" spans="2:11" ht="15.75" thickBot="1" x14ac:dyDescent="0.3">
      <c r="B142" s="975"/>
      <c r="C142" s="94"/>
      <c r="D142" s="40" t="s">
        <v>531</v>
      </c>
      <c r="E142" s="165"/>
      <c r="F142" s="5"/>
      <c r="G142" s="5"/>
      <c r="H142" s="5"/>
      <c r="I142" s="87"/>
      <c r="J142" s="5"/>
      <c r="K142" s="5"/>
    </row>
    <row r="143" spans="2:11" ht="15.75" thickBot="1" x14ac:dyDescent="0.3">
      <c r="B143" s="976"/>
      <c r="C143" s="2"/>
      <c r="D143" s="40" t="s">
        <v>678</v>
      </c>
      <c r="E143" s="165"/>
      <c r="F143" s="5"/>
      <c r="G143" s="5"/>
      <c r="H143" s="5"/>
      <c r="I143" s="87"/>
      <c r="J143" s="5"/>
      <c r="K143" s="5"/>
    </row>
    <row r="144" spans="2:11" ht="15.75" thickBot="1" x14ac:dyDescent="0.3">
      <c r="B144" s="1"/>
      <c r="C144" s="76"/>
      <c r="D144" s="5"/>
      <c r="E144" s="5"/>
      <c r="F144" s="5"/>
      <c r="G144" s="5"/>
      <c r="H144" s="5"/>
      <c r="I144" s="87"/>
      <c r="J144" s="5"/>
      <c r="K144" s="5"/>
    </row>
    <row r="145" spans="2:11" ht="15" customHeight="1" thickBot="1" x14ac:dyDescent="0.3">
      <c r="B145" s="164" t="s">
        <v>682</v>
      </c>
      <c r="C145" s="123"/>
      <c r="D145" s="123"/>
      <c r="E145" s="124"/>
      <c r="G145" s="5"/>
      <c r="H145" s="5"/>
      <c r="I145" s="87"/>
      <c r="J145" s="5"/>
      <c r="K145" s="5"/>
    </row>
    <row r="146" spans="2:11" ht="24.75" thickBot="1" x14ac:dyDescent="0.3">
      <c r="B146" s="47" t="s">
        <v>683</v>
      </c>
      <c r="C146" s="40" t="s">
        <v>684</v>
      </c>
      <c r="D146" s="40" t="s">
        <v>685</v>
      </c>
      <c r="E146" s="40" t="s">
        <v>686</v>
      </c>
      <c r="F146" s="5"/>
      <c r="G146" s="5"/>
      <c r="H146" s="5"/>
      <c r="I146" s="87"/>
      <c r="J146" s="5"/>
    </row>
    <row r="147" spans="2:11" ht="60.75" thickBot="1" x14ac:dyDescent="0.3">
      <c r="B147" s="49">
        <v>42401</v>
      </c>
      <c r="C147" s="40">
        <v>0.01</v>
      </c>
      <c r="D147" s="50" t="s">
        <v>1612</v>
      </c>
      <c r="E147" s="40"/>
      <c r="F147" s="5"/>
      <c r="G147" s="5"/>
      <c r="H147" s="5"/>
      <c r="I147" s="87"/>
      <c r="J147" s="5"/>
    </row>
    <row r="148" spans="2:11" ht="15.75" thickBot="1" x14ac:dyDescent="0.3">
      <c r="B148" s="3"/>
      <c r="C148" s="95"/>
      <c r="D148" s="5"/>
      <c r="E148" s="5"/>
      <c r="F148" s="5"/>
      <c r="G148" s="5"/>
      <c r="H148" s="5"/>
      <c r="I148" s="87"/>
      <c r="J148" s="5"/>
      <c r="K148" s="5"/>
    </row>
    <row r="149" spans="2:11" ht="15.75" thickBot="1" x14ac:dyDescent="0.3">
      <c r="B149" s="129" t="s">
        <v>593</v>
      </c>
      <c r="C149" s="96"/>
      <c r="D149" s="5"/>
      <c r="E149" s="5"/>
      <c r="F149" s="5"/>
      <c r="G149" s="5"/>
      <c r="H149" s="5"/>
      <c r="I149" s="87"/>
      <c r="J149" s="5"/>
      <c r="K149" s="5"/>
    </row>
    <row r="150" spans="2:11" ht="63" customHeight="1" thickBot="1" x14ac:dyDescent="0.3">
      <c r="B150" s="1159"/>
      <c r="C150" s="1160"/>
      <c r="D150" s="1160"/>
      <c r="E150" s="1161"/>
      <c r="F150" s="5"/>
      <c r="G150" s="5"/>
      <c r="H150" s="5"/>
      <c r="I150" s="87"/>
      <c r="J150" s="5"/>
      <c r="K150" s="5"/>
    </row>
    <row r="151" spans="2:11" ht="15.75" thickBot="1" x14ac:dyDescent="0.3">
      <c r="B151" s="5"/>
      <c r="D151" s="5"/>
      <c r="E151" s="5"/>
      <c r="F151" s="5"/>
      <c r="G151" s="5"/>
      <c r="H151" s="5"/>
      <c r="I151" s="87"/>
      <c r="J151" s="5"/>
      <c r="K151" s="5"/>
    </row>
    <row r="152" spans="2:11" ht="24.75" thickBot="1" x14ac:dyDescent="0.3">
      <c r="B152" s="51" t="s">
        <v>688</v>
      </c>
      <c r="C152" s="97"/>
      <c r="D152" s="5"/>
      <c r="E152" s="5"/>
      <c r="F152" s="5"/>
      <c r="G152" s="5"/>
      <c r="H152" s="5"/>
      <c r="I152" s="87"/>
      <c r="J152" s="5"/>
      <c r="K152" s="5"/>
    </row>
    <row r="153" spans="2:11" ht="15.75" thickBot="1" x14ac:dyDescent="0.3">
      <c r="B153" s="1" t="s">
        <v>596</v>
      </c>
      <c r="C153" s="76"/>
      <c r="D153" s="5"/>
      <c r="E153" s="5"/>
      <c r="F153" s="5"/>
      <c r="G153" s="5"/>
      <c r="H153" s="5"/>
      <c r="I153" s="87"/>
      <c r="J153" s="5"/>
      <c r="K153" s="5"/>
    </row>
    <row r="154" spans="2:11" ht="60.75" thickBot="1" x14ac:dyDescent="0.3">
      <c r="B154" s="52" t="s">
        <v>689</v>
      </c>
      <c r="C154" s="98"/>
      <c r="D154" s="43" t="s">
        <v>1613</v>
      </c>
      <c r="E154" s="5"/>
      <c r="F154" s="5"/>
      <c r="G154" s="5"/>
      <c r="H154" s="5"/>
      <c r="I154" s="87"/>
      <c r="J154" s="5"/>
      <c r="K154" s="5"/>
    </row>
    <row r="155" spans="2:11" x14ac:dyDescent="0.25">
      <c r="B155" s="974" t="s">
        <v>691</v>
      </c>
      <c r="C155" s="94"/>
      <c r="D155" s="53" t="s">
        <v>692</v>
      </c>
      <c r="E155" s="5"/>
      <c r="F155" s="5"/>
      <c r="G155" s="5"/>
      <c r="H155" s="5"/>
      <c r="I155" s="87"/>
      <c r="J155" s="5"/>
      <c r="K155" s="5"/>
    </row>
    <row r="156" spans="2:11" ht="108" x14ac:dyDescent="0.25">
      <c r="B156" s="975"/>
      <c r="C156" s="94"/>
      <c r="D156" s="46" t="s">
        <v>1614</v>
      </c>
      <c r="E156" s="5"/>
      <c r="F156" s="5"/>
      <c r="G156" s="5"/>
      <c r="H156" s="5"/>
      <c r="I156" s="87"/>
      <c r="J156" s="5"/>
      <c r="K156" s="5"/>
    </row>
    <row r="157" spans="2:11" x14ac:dyDescent="0.25">
      <c r="B157" s="975"/>
      <c r="C157" s="94"/>
      <c r="D157" s="53" t="s">
        <v>777</v>
      </c>
      <c r="E157" s="5"/>
      <c r="F157" s="5"/>
      <c r="G157" s="5"/>
      <c r="H157" s="5"/>
      <c r="I157" s="87"/>
      <c r="J157" s="5"/>
      <c r="K157" s="5"/>
    </row>
    <row r="158" spans="2:11" x14ac:dyDescent="0.25">
      <c r="B158" s="975"/>
      <c r="C158" s="94"/>
      <c r="D158" s="46" t="s">
        <v>696</v>
      </c>
      <c r="E158" s="5"/>
      <c r="F158" s="5"/>
      <c r="G158" s="5"/>
      <c r="H158" s="5"/>
      <c r="I158" s="87"/>
      <c r="J158" s="5"/>
      <c r="K158" s="5"/>
    </row>
    <row r="159" spans="2:11" x14ac:dyDescent="0.25">
      <c r="B159" s="975"/>
      <c r="C159" s="94"/>
      <c r="D159" s="46" t="s">
        <v>697</v>
      </c>
      <c r="E159" s="5"/>
      <c r="F159" s="5"/>
      <c r="G159" s="5"/>
      <c r="H159" s="5"/>
      <c r="I159" s="87"/>
      <c r="J159" s="5"/>
      <c r="K159" s="5"/>
    </row>
    <row r="160" spans="2:11" x14ac:dyDescent="0.25">
      <c r="B160" s="975"/>
      <c r="C160" s="94"/>
      <c r="D160" s="46" t="s">
        <v>1539</v>
      </c>
      <c r="E160" s="5"/>
      <c r="F160" s="5"/>
      <c r="G160" s="5"/>
      <c r="H160" s="5"/>
      <c r="I160" s="87"/>
      <c r="J160" s="5"/>
      <c r="K160" s="5"/>
    </row>
    <row r="161" spans="2:11" ht="36.75" thickBot="1" x14ac:dyDescent="0.3">
      <c r="B161" s="976"/>
      <c r="C161" s="2"/>
      <c r="D161" s="40" t="s">
        <v>1615</v>
      </c>
      <c r="E161" s="5"/>
      <c r="F161" s="5"/>
      <c r="G161" s="5"/>
      <c r="H161" s="5"/>
      <c r="I161" s="87"/>
      <c r="J161" s="5"/>
      <c r="K161" s="5"/>
    </row>
    <row r="162" spans="2:11" ht="24.75" thickBot="1" x14ac:dyDescent="0.3">
      <c r="B162" s="47" t="s">
        <v>704</v>
      </c>
      <c r="C162" s="2"/>
      <c r="D162" s="40"/>
      <c r="E162" s="5"/>
      <c r="F162" s="5"/>
      <c r="G162" s="5"/>
      <c r="H162" s="5"/>
      <c r="I162" s="87"/>
      <c r="J162" s="5"/>
      <c r="K162" s="5"/>
    </row>
    <row r="163" spans="2:11" ht="312" x14ac:dyDescent="0.25">
      <c r="B163" s="974" t="s">
        <v>705</v>
      </c>
      <c r="C163" s="94"/>
      <c r="D163" s="46" t="s">
        <v>1616</v>
      </c>
      <c r="E163" s="5"/>
      <c r="F163" s="5"/>
      <c r="G163" s="5"/>
      <c r="H163" s="5"/>
      <c r="I163" s="87"/>
      <c r="J163" s="5"/>
      <c r="K163" s="5"/>
    </row>
    <row r="164" spans="2:11" ht="324" x14ac:dyDescent="0.25">
      <c r="B164" s="975"/>
      <c r="C164" s="94"/>
      <c r="D164" s="46" t="s">
        <v>1617</v>
      </c>
      <c r="E164" s="5"/>
      <c r="F164" s="5"/>
      <c r="G164" s="5"/>
      <c r="H164" s="5"/>
      <c r="I164" s="87"/>
      <c r="J164" s="5"/>
      <c r="K164" s="5"/>
    </row>
    <row r="165" spans="2:11" ht="108" x14ac:dyDescent="0.25">
      <c r="B165" s="975"/>
      <c r="C165" s="94"/>
      <c r="D165" s="46" t="s">
        <v>1618</v>
      </c>
      <c r="E165" s="5"/>
      <c r="F165" s="5"/>
      <c r="G165" s="5"/>
      <c r="H165" s="5"/>
      <c r="I165" s="87"/>
      <c r="J165" s="5"/>
      <c r="K165" s="5"/>
    </row>
    <row r="166" spans="2:11" ht="72.75" thickBot="1" x14ac:dyDescent="0.3">
      <c r="B166" s="976"/>
      <c r="C166" s="2"/>
      <c r="D166" s="40" t="s">
        <v>1619</v>
      </c>
      <c r="E166" s="5"/>
      <c r="F166" s="5"/>
      <c r="G166" s="5"/>
      <c r="H166" s="5"/>
      <c r="I166" s="87"/>
      <c r="J166" s="5"/>
      <c r="K166" s="5"/>
    </row>
    <row r="167" spans="2:11" ht="24" x14ac:dyDescent="0.25">
      <c r="B167" s="974" t="s">
        <v>722</v>
      </c>
      <c r="C167" s="94"/>
      <c r="D167" s="53" t="s">
        <v>31</v>
      </c>
      <c r="E167" s="5"/>
      <c r="F167" s="5"/>
      <c r="G167" s="5"/>
      <c r="H167" s="5"/>
      <c r="I167" s="87"/>
      <c r="J167" s="5"/>
      <c r="K167" s="5"/>
    </row>
    <row r="168" spans="2:11" x14ac:dyDescent="0.25">
      <c r="B168" s="975"/>
      <c r="C168" s="94"/>
      <c r="D168" s="16"/>
      <c r="E168" s="5"/>
      <c r="F168" s="5"/>
      <c r="G168" s="5"/>
      <c r="H168" s="5"/>
      <c r="I168" s="87"/>
      <c r="J168" s="5"/>
      <c r="K168" s="5"/>
    </row>
    <row r="169" spans="2:11" x14ac:dyDescent="0.25">
      <c r="B169" s="975"/>
      <c r="C169" s="94"/>
      <c r="D169" s="46" t="s">
        <v>723</v>
      </c>
      <c r="E169" s="5"/>
      <c r="F169" s="5"/>
      <c r="G169" s="5"/>
      <c r="H169" s="5"/>
      <c r="I169" s="87"/>
      <c r="J169" s="5"/>
      <c r="K169" s="5"/>
    </row>
    <row r="170" spans="2:11" ht="37.5" x14ac:dyDescent="0.25">
      <c r="B170" s="975"/>
      <c r="C170" s="94"/>
      <c r="D170" s="46" t="s">
        <v>1620</v>
      </c>
      <c r="E170" s="5"/>
      <c r="F170" s="5"/>
      <c r="G170" s="5"/>
      <c r="H170" s="5"/>
      <c r="I170" s="87"/>
      <c r="J170" s="5"/>
      <c r="K170" s="5"/>
    </row>
    <row r="171" spans="2:11" ht="37.5" x14ac:dyDescent="0.25">
      <c r="B171" s="975"/>
      <c r="C171" s="94"/>
      <c r="D171" s="46" t="s">
        <v>1621</v>
      </c>
      <c r="E171" s="5"/>
      <c r="F171" s="5"/>
      <c r="G171" s="5"/>
      <c r="H171" s="5"/>
      <c r="I171" s="87"/>
      <c r="J171" s="5"/>
      <c r="K171" s="5"/>
    </row>
    <row r="172" spans="2:11" ht="60" x14ac:dyDescent="0.25">
      <c r="B172" s="975"/>
      <c r="C172" s="94"/>
      <c r="D172" s="46" t="s">
        <v>1622</v>
      </c>
      <c r="E172" s="5"/>
      <c r="F172" s="5"/>
      <c r="G172" s="5"/>
      <c r="H172" s="5"/>
      <c r="I172" s="87"/>
      <c r="J172" s="5"/>
      <c r="K172" s="5"/>
    </row>
    <row r="173" spans="2:11" ht="97.5" x14ac:dyDescent="0.25">
      <c r="B173" s="975"/>
      <c r="C173" s="94"/>
      <c r="D173" s="46" t="s">
        <v>1623</v>
      </c>
      <c r="E173" s="5"/>
      <c r="F173" s="5"/>
      <c r="G173" s="5"/>
      <c r="H173" s="5"/>
      <c r="I173" s="87"/>
      <c r="J173" s="5"/>
      <c r="K173" s="5"/>
    </row>
    <row r="174" spans="2:11" ht="24" x14ac:dyDescent="0.25">
      <c r="B174" s="975"/>
      <c r="C174" s="94"/>
      <c r="D174" s="53" t="s">
        <v>1624</v>
      </c>
      <c r="E174" s="5"/>
      <c r="F174" s="5"/>
      <c r="G174" s="5"/>
      <c r="H174" s="5"/>
      <c r="I174" s="87"/>
      <c r="J174" s="5"/>
      <c r="K174" s="5"/>
    </row>
    <row r="175" spans="2:11" x14ac:dyDescent="0.25">
      <c r="B175" s="975"/>
      <c r="C175" s="94"/>
      <c r="D175" s="16"/>
      <c r="E175" s="5"/>
      <c r="F175" s="5"/>
      <c r="G175" s="5"/>
      <c r="H175" s="5"/>
      <c r="I175" s="87"/>
      <c r="J175" s="5"/>
      <c r="K175" s="5"/>
    </row>
    <row r="176" spans="2:11" x14ac:dyDescent="0.25">
      <c r="B176" s="975"/>
      <c r="C176" s="94"/>
      <c r="D176" s="46" t="s">
        <v>723</v>
      </c>
      <c r="E176" s="5"/>
      <c r="F176" s="5"/>
      <c r="G176" s="5"/>
      <c r="H176" s="5"/>
      <c r="I176" s="87"/>
      <c r="J176" s="5"/>
      <c r="K176" s="5"/>
    </row>
    <row r="177" spans="2:11" ht="37.5" x14ac:dyDescent="0.25">
      <c r="B177" s="975"/>
      <c r="C177" s="94"/>
      <c r="D177" s="46" t="s">
        <v>1625</v>
      </c>
      <c r="E177" s="5"/>
      <c r="F177" s="5"/>
      <c r="G177" s="5"/>
      <c r="H177" s="5"/>
      <c r="I177" s="87"/>
      <c r="J177" s="5"/>
      <c r="K177" s="5"/>
    </row>
    <row r="178" spans="2:11" ht="37.5" x14ac:dyDescent="0.25">
      <c r="B178" s="975"/>
      <c r="C178" s="94"/>
      <c r="D178" s="46" t="s">
        <v>1626</v>
      </c>
      <c r="E178" s="5"/>
      <c r="F178" s="5"/>
      <c r="G178" s="5"/>
      <c r="H178" s="5"/>
      <c r="I178" s="87"/>
      <c r="J178" s="5"/>
      <c r="K178" s="5"/>
    </row>
    <row r="179" spans="2:11" ht="37.5" x14ac:dyDescent="0.25">
      <c r="B179" s="975"/>
      <c r="C179" s="94"/>
      <c r="D179" s="46" t="s">
        <v>1627</v>
      </c>
      <c r="E179" s="5"/>
      <c r="F179" s="5"/>
      <c r="G179" s="5"/>
      <c r="H179" s="5"/>
      <c r="I179" s="87"/>
      <c r="J179" s="5"/>
      <c r="K179" s="5"/>
    </row>
    <row r="180" spans="2:11" ht="60" x14ac:dyDescent="0.25">
      <c r="B180" s="975"/>
      <c r="C180" s="94"/>
      <c r="D180" s="46" t="s">
        <v>1622</v>
      </c>
      <c r="E180" s="5"/>
      <c r="F180" s="5"/>
      <c r="G180" s="5"/>
      <c r="H180" s="5"/>
      <c r="I180" s="87"/>
      <c r="J180" s="5"/>
      <c r="K180" s="5"/>
    </row>
    <row r="181" spans="2:11" ht="60.75" thickBot="1" x14ac:dyDescent="0.3">
      <c r="B181" s="976"/>
      <c r="C181" s="2"/>
      <c r="D181" s="40" t="s">
        <v>1628</v>
      </c>
      <c r="E181" s="5"/>
      <c r="F181" s="5"/>
      <c r="G181" s="5"/>
      <c r="H181" s="5"/>
      <c r="I181" s="87"/>
      <c r="J181" s="5"/>
      <c r="K181" s="5"/>
    </row>
    <row r="182" spans="2:11" x14ac:dyDescent="0.25">
      <c r="B182" s="5"/>
      <c r="D182" s="5"/>
      <c r="E182" s="5"/>
      <c r="F182" s="5"/>
      <c r="G182" s="5"/>
      <c r="H182" s="5"/>
      <c r="I182" s="87"/>
      <c r="J182" s="5"/>
      <c r="K182" s="5"/>
    </row>
    <row r="183" spans="2:11" x14ac:dyDescent="0.25">
      <c r="B183" s="5"/>
      <c r="D183" s="5"/>
      <c r="E183" s="5"/>
      <c r="F183" s="5"/>
      <c r="G183" s="5"/>
      <c r="H183" s="5"/>
      <c r="I183" s="87"/>
      <c r="J183" s="5"/>
      <c r="K183" s="5"/>
    </row>
    <row r="184" spans="2:11" x14ac:dyDescent="0.25">
      <c r="B184" s="5"/>
      <c r="D184" s="5"/>
      <c r="E184" s="5"/>
      <c r="F184" s="5"/>
      <c r="G184" s="5"/>
      <c r="H184" s="5"/>
      <c r="I184" s="87"/>
      <c r="J184" s="5"/>
      <c r="K184" s="5"/>
    </row>
    <row r="185" spans="2:11" x14ac:dyDescent="0.25">
      <c r="B185" s="5"/>
      <c r="D185" s="5"/>
      <c r="E185" s="5"/>
      <c r="F185" s="5"/>
      <c r="G185" s="5"/>
      <c r="H185" s="5"/>
      <c r="I185" s="87"/>
      <c r="J185" s="5"/>
      <c r="K185" s="5"/>
    </row>
    <row r="186" spans="2:11" x14ac:dyDescent="0.25">
      <c r="B186" s="5"/>
      <c r="D186" s="5"/>
      <c r="E186" s="5"/>
      <c r="F186" s="5"/>
      <c r="G186" s="5"/>
      <c r="H186" s="5"/>
      <c r="I186" s="87"/>
      <c r="J186" s="5"/>
      <c r="K186" s="5"/>
    </row>
    <row r="187" spans="2:11" x14ac:dyDescent="0.25">
      <c r="B187" s="5"/>
      <c r="D187" s="5"/>
      <c r="E187" s="5"/>
      <c r="F187" s="5"/>
      <c r="G187" s="5"/>
      <c r="H187" s="5"/>
      <c r="I187" s="87"/>
      <c r="J187" s="5"/>
      <c r="K187" s="5"/>
    </row>
    <row r="188" spans="2:11" x14ac:dyDescent="0.25">
      <c r="B188" s="5"/>
      <c r="D188" s="5"/>
      <c r="E188" s="5"/>
      <c r="F188" s="5"/>
      <c r="G188" s="5"/>
      <c r="H188" s="5"/>
      <c r="I188" s="87"/>
      <c r="J188" s="5"/>
      <c r="K188" s="5"/>
    </row>
    <row r="189" spans="2:11" x14ac:dyDescent="0.25">
      <c r="B189" s="5"/>
      <c r="D189" s="5"/>
      <c r="E189" s="5"/>
      <c r="F189" s="5"/>
      <c r="G189" s="5"/>
      <c r="H189" s="5"/>
      <c r="I189" s="87"/>
      <c r="J189" s="5"/>
      <c r="K189" s="5"/>
    </row>
    <row r="190" spans="2:11" x14ac:dyDescent="0.25">
      <c r="B190" s="5"/>
      <c r="D190" s="5"/>
      <c r="E190" s="5"/>
      <c r="F190" s="5"/>
      <c r="G190" s="5"/>
      <c r="H190" s="5"/>
      <c r="I190" s="87"/>
      <c r="J190" s="5"/>
      <c r="K190" s="5"/>
    </row>
    <row r="191" spans="2:11" x14ac:dyDescent="0.25">
      <c r="B191" s="5"/>
      <c r="D191" s="5"/>
      <c r="E191" s="5"/>
      <c r="F191" s="5"/>
      <c r="G191" s="5"/>
      <c r="H191" s="5"/>
      <c r="I191" s="87"/>
      <c r="J191" s="5"/>
      <c r="K191" s="5"/>
    </row>
    <row r="192" spans="2:11" x14ac:dyDescent="0.25">
      <c r="B192" s="5"/>
      <c r="D192" s="5"/>
      <c r="E192" s="5"/>
      <c r="F192" s="5"/>
      <c r="G192" s="5"/>
      <c r="H192" s="5"/>
      <c r="I192" s="87"/>
      <c r="J192" s="5"/>
      <c r="K192" s="5"/>
    </row>
    <row r="193" spans="2:11" x14ac:dyDescent="0.25">
      <c r="B193" s="5"/>
      <c r="D193" s="5"/>
      <c r="E193" s="5"/>
      <c r="F193" s="5"/>
      <c r="G193" s="5"/>
      <c r="H193" s="5"/>
      <c r="I193" s="87"/>
      <c r="J193" s="5"/>
      <c r="K193" s="5"/>
    </row>
    <row r="194" spans="2:11" x14ac:dyDescent="0.25">
      <c r="B194" s="5"/>
      <c r="D194" s="5"/>
      <c r="E194" s="5"/>
      <c r="F194" s="5"/>
      <c r="G194" s="5"/>
      <c r="H194" s="5"/>
      <c r="I194" s="87"/>
      <c r="J194" s="5"/>
      <c r="K194" s="5"/>
    </row>
    <row r="195" spans="2:11" x14ac:dyDescent="0.25">
      <c r="B195" s="5"/>
      <c r="D195" s="5"/>
      <c r="E195" s="5"/>
      <c r="F195" s="5"/>
      <c r="G195" s="5"/>
      <c r="H195" s="5"/>
      <c r="I195" s="87"/>
      <c r="J195" s="5"/>
      <c r="K195" s="5"/>
    </row>
    <row r="196" spans="2:11" x14ac:dyDescent="0.25">
      <c r="B196" s="5"/>
      <c r="D196" s="5"/>
      <c r="E196" s="5"/>
      <c r="F196" s="5"/>
      <c r="G196" s="5"/>
      <c r="H196" s="5"/>
      <c r="I196" s="87"/>
      <c r="J196" s="5"/>
      <c r="K196" s="5"/>
    </row>
    <row r="197" spans="2:11" x14ac:dyDescent="0.25">
      <c r="B197" s="5"/>
      <c r="D197" s="5"/>
      <c r="E197" s="5"/>
      <c r="F197" s="5"/>
      <c r="G197" s="5"/>
      <c r="H197" s="5"/>
      <c r="I197" s="87"/>
      <c r="J197" s="5"/>
      <c r="K197" s="5"/>
    </row>
  </sheetData>
  <mergeCells count="59">
    <mergeCell ref="B137:B143"/>
    <mergeCell ref="D104:I104"/>
    <mergeCell ref="D108:I108"/>
    <mergeCell ref="D109:I109"/>
    <mergeCell ref="D110:I110"/>
    <mergeCell ref="B127:E127"/>
    <mergeCell ref="B128:B134"/>
    <mergeCell ref="B136:E136"/>
    <mergeCell ref="D84:I84"/>
    <mergeCell ref="D85:I85"/>
    <mergeCell ref="D89:I89"/>
    <mergeCell ref="D90:I90"/>
    <mergeCell ref="D103:I103"/>
    <mergeCell ref="D79:I79"/>
    <mergeCell ref="G27:G28"/>
    <mergeCell ref="B15:B114"/>
    <mergeCell ref="D15:I15"/>
    <mergeCell ref="D16:I16"/>
    <mergeCell ref="D17:I17"/>
    <mergeCell ref="D20:I20"/>
    <mergeCell ref="D25:I25"/>
    <mergeCell ref="D26:I26"/>
    <mergeCell ref="D42:I42"/>
    <mergeCell ref="D95:I95"/>
    <mergeCell ref="D96:I96"/>
    <mergeCell ref="D97:I97"/>
    <mergeCell ref="D102:I102"/>
    <mergeCell ref="D72:I72"/>
    <mergeCell ref="D78:I78"/>
    <mergeCell ref="B150:E150"/>
    <mergeCell ref="B155:B161"/>
    <mergeCell ref="B163:B166"/>
    <mergeCell ref="B167:B181"/>
    <mergeCell ref="D27:D28"/>
    <mergeCell ref="E27:E28"/>
    <mergeCell ref="D56:I56"/>
    <mergeCell ref="D57:I57"/>
    <mergeCell ref="D58:I58"/>
    <mergeCell ref="D63:I63"/>
    <mergeCell ref="D43:I43"/>
    <mergeCell ref="F27:F28"/>
    <mergeCell ref="D71:I71"/>
    <mergeCell ref="D44:I44"/>
    <mergeCell ref="D49:I49"/>
    <mergeCell ref="D50:I50"/>
    <mergeCell ref="D51:I51"/>
    <mergeCell ref="D64:I64"/>
    <mergeCell ref="D65:I65"/>
    <mergeCell ref="D70:I70"/>
    <mergeCell ref="A1:P1"/>
    <mergeCell ref="A2:P2"/>
    <mergeCell ref="A3:P3"/>
    <mergeCell ref="A4:D4"/>
    <mergeCell ref="A5:P5"/>
    <mergeCell ref="B10:D10"/>
    <mergeCell ref="F10:S10"/>
    <mergeCell ref="F11:S11"/>
    <mergeCell ref="E12:R12"/>
    <mergeCell ref="E13:R13"/>
  </mergeCells>
  <conditionalFormatting sqref="E12:R12">
    <cfRule type="expression" dxfId="33" priority="1">
      <formula>E11="SI SE REPORTA"</formula>
    </cfRule>
  </conditionalFormatting>
  <conditionalFormatting sqref="F10">
    <cfRule type="notContainsBlanks" dxfId="32" priority="4">
      <formula>LEN(TRIM(F10))&gt;0</formula>
    </cfRule>
  </conditionalFormatting>
  <conditionalFormatting sqref="F122">
    <cfRule type="containsText" dxfId="31" priority="5" operator="containsText" text="ERROR">
      <formula>NOT(ISERROR(SEARCH("ERROR",F122)))</formula>
    </cfRule>
  </conditionalFormatting>
  <conditionalFormatting sqref="F11:S11">
    <cfRule type="expression" dxfId="30" priority="2">
      <formula>E11="NO SE REPORTA"</formula>
    </cfRule>
    <cfRule type="expression" dxfId="29" priority="3">
      <formula>E10="NO APLICA"</formula>
    </cfRule>
  </conditionalFormatting>
  <dataValidations count="6">
    <dataValidation type="decimal" operator="greaterThanOrEqual" allowBlank="1" showInputMessage="1" showErrorMessage="1" prompt="ERROR - Escriba un número igual o mayor que 0" sqref="E53:E54 E46:E48 E60:E61" xr:uid="{3994701B-7BF6-4574-A079-194C88E418B6}">
      <formula1>0</formula1>
    </dataValidation>
    <dataValidation type="list" allowBlank="1" showInputMessage="1" showErrorMessage="1" sqref="E10" xr:uid="{00000000-0002-0000-1E00-000004000000}">
      <formula1>SI</formula1>
    </dataValidation>
    <dataValidation type="list" allowBlank="1" showInputMessage="1" showErrorMessage="1" sqref="E11" xr:uid="{00000000-0002-0000-1E00-000003000000}">
      <formula1>REPORTE</formula1>
    </dataValidation>
    <dataValidation type="decimal" allowBlank="1" showInputMessage="1" showErrorMessage="1" errorTitle="ERROR" error="Escriba un valor entre 0% y 100%" sqref="F117:F121" xr:uid="{00000000-0002-0000-1E00-000002000000}">
      <formula1>0</formula1>
      <formula2>1</formula2>
    </dataValidation>
    <dataValidation allowBlank="1" showInputMessage="1" showErrorMessage="1" sqref="E62:H62 E76:I76 I74:I75 I81:I83 E83:H83 E24:H24 E41:H41 I53:I55 E55:H55 I60:I62" xr:uid="{00000000-0002-0000-1E00-000001000000}"/>
    <dataValidation type="whole" operator="greaterThanOrEqual" allowBlank="1" showErrorMessage="1" errorTitle="ERROR" error="Escriba un número igual o mayor que 0" promptTitle="ERROR" prompt="Escriba un número igual o mayor que 0" sqref="E22:H23 E112:H113 E99:H100 F53:H54 E18:E19 E106:E107 E29:H40 E67:E69 E81:H82 E87:E88 F60:H61 E92:H93 E74:H75" xr:uid="{00000000-0002-0000-1E00-000000000000}">
      <formula1>0</formula1>
    </dataValidation>
  </dataValidations>
  <hyperlinks>
    <hyperlink ref="B9" location="'ANEXO 3'!A1" display="VOLVER AL INDICE" xr:uid="{558A3340-FD1E-4F95-BBC2-09F1C9809F0B}"/>
    <hyperlink ref="E132" r:id="rId1" xr:uid="{B3D2A88C-9175-49CC-8BCA-3C9251454C71}"/>
  </hyperlinks>
  <pageMargins left="0.25" right="0.25" top="0.75" bottom="0.75" header="0.3" footer="0.3"/>
  <pageSetup paperSize="178" orientation="landscape" horizontalDpi="1200" verticalDpi="1200" r:id="rId2"/>
  <drawing r:id="rId3"/>
  <legacy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0A5A9-6788-414F-B9FD-C6B2D2ACD00D}">
  <dimension ref="A1:U179"/>
  <sheetViews>
    <sheetView showGridLines="0" topLeftCell="A9" zoomScale="98" zoomScaleNormal="98" workbookViewId="0">
      <selection activeCell="D18" sqref="D18:I18"/>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32</v>
      </c>
      <c r="B5" s="998"/>
      <c r="C5" s="998"/>
      <c r="D5" s="998"/>
      <c r="E5" s="998"/>
      <c r="F5" s="998"/>
      <c r="G5" s="998"/>
      <c r="H5" s="998"/>
      <c r="I5" s="998"/>
      <c r="J5" s="998"/>
      <c r="K5" s="998"/>
      <c r="L5" s="998"/>
      <c r="M5" s="998"/>
      <c r="N5" s="998"/>
      <c r="O5" s="998"/>
      <c r="P5" s="999"/>
    </row>
    <row r="6" spans="1:21" x14ac:dyDescent="0.25">
      <c r="B6" s="1" t="s">
        <v>626</v>
      </c>
      <c r="C6" s="76"/>
      <c r="D6" s="5"/>
      <c r="E6" s="74"/>
      <c r="F6" s="5" t="s">
        <v>627</v>
      </c>
      <c r="G6" s="5"/>
      <c r="H6" s="5"/>
      <c r="I6" s="5"/>
      <c r="J6" s="5"/>
      <c r="K6" s="5"/>
    </row>
    <row r="7" spans="1:21" ht="15.75" thickBot="1" x14ac:dyDescent="0.3">
      <c r="B7" s="75"/>
      <c r="C7" s="77"/>
      <c r="D7" s="5"/>
      <c r="E7" s="17"/>
      <c r="F7" s="5" t="s">
        <v>628</v>
      </c>
      <c r="G7" s="5"/>
      <c r="H7" s="5"/>
      <c r="I7" s="5"/>
      <c r="J7" s="5"/>
      <c r="K7" s="5"/>
    </row>
    <row r="8" spans="1:21" ht="15.75" thickBot="1" x14ac:dyDescent="0.3">
      <c r="B8" s="171" t="s">
        <v>629</v>
      </c>
      <c r="C8" s="211">
        <v>2024</v>
      </c>
      <c r="D8" s="216" t="e">
        <f>IF(E10="NO APLICA","NO APLICA",IF(E11="NO SE REPORTA","SIN INFORMACION",+G21))</f>
        <v>#DIV/0!</v>
      </c>
      <c r="E8" s="212"/>
      <c r="F8" s="5" t="s">
        <v>630</v>
      </c>
      <c r="G8" s="5"/>
      <c r="H8" s="5"/>
      <c r="I8" s="5"/>
      <c r="J8" s="5"/>
      <c r="K8" s="5"/>
    </row>
    <row r="9" spans="1:21" x14ac:dyDescent="0.25">
      <c r="B9" s="358" t="s">
        <v>631</v>
      </c>
      <c r="D9" s="5"/>
      <c r="E9" s="5"/>
      <c r="F9" s="5"/>
      <c r="G9" s="5"/>
      <c r="H9" s="5"/>
      <c r="I9" s="5"/>
      <c r="J9" s="5"/>
      <c r="K9" s="5"/>
    </row>
    <row r="10" spans="1:21" x14ac:dyDescent="0.25">
      <c r="B10" s="1008" t="s">
        <v>632</v>
      </c>
      <c r="C10" s="1008"/>
      <c r="D10" s="1008"/>
      <c r="E10" s="361" t="s">
        <v>633</v>
      </c>
      <c r="F10" s="99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96"/>
      <c r="H10" s="996"/>
      <c r="I10" s="996"/>
      <c r="J10" s="996"/>
      <c r="K10" s="996"/>
      <c r="L10" s="996"/>
      <c r="M10" s="996"/>
      <c r="N10" s="996"/>
      <c r="O10" s="996"/>
      <c r="P10" s="996"/>
      <c r="Q10" s="996"/>
      <c r="R10" s="996"/>
      <c r="S10" s="996"/>
      <c r="T10" s="5"/>
      <c r="U10" s="5"/>
    </row>
    <row r="11" spans="1:21" ht="14.45" customHeight="1" x14ac:dyDescent="0.25">
      <c r="B11" s="360"/>
      <c r="C11" s="88"/>
      <c r="D11" s="171" t="str">
        <f>IF(E10="SI APLICA","¿El indicador no se reporta por limitaciones de información disponible? ","")</f>
        <v xml:space="preserve">¿El indicador no se reporta por limitaciones de información disponible? </v>
      </c>
      <c r="E11" s="362" t="s">
        <v>634</v>
      </c>
      <c r="F11" s="1009"/>
      <c r="G11" s="1010"/>
      <c r="H11" s="1010"/>
      <c r="I11" s="1010"/>
      <c r="J11" s="1010"/>
      <c r="K11" s="1010"/>
      <c r="L11" s="1010"/>
      <c r="M11" s="1010"/>
      <c r="N11" s="1010"/>
      <c r="O11" s="1010"/>
      <c r="P11" s="1010"/>
      <c r="Q11" s="1010"/>
      <c r="R11" s="1010"/>
      <c r="S11" s="1010"/>
    </row>
    <row r="12" spans="1:21" ht="23.45" customHeight="1" x14ac:dyDescent="0.25">
      <c r="B12" s="358"/>
      <c r="C12" s="88"/>
      <c r="D12" s="171" t="str">
        <f>IF(E11="SI SE REPORTA","¿Qué programas o proyectos del Plan de Acción están asociados al indicador? ","")</f>
        <v xml:space="preserve">¿Qué programas o proyectos del Plan de Acción están asociados al indicador? </v>
      </c>
      <c r="E12" s="1011" t="s">
        <v>2367</v>
      </c>
      <c r="F12" s="1011"/>
      <c r="G12" s="1011"/>
      <c r="H12" s="1011"/>
      <c r="I12" s="1011"/>
      <c r="J12" s="1011"/>
      <c r="K12" s="1011"/>
      <c r="L12" s="1011"/>
      <c r="M12" s="1011"/>
      <c r="N12" s="1011"/>
      <c r="O12" s="1011"/>
      <c r="P12" s="1011"/>
      <c r="Q12" s="1011"/>
      <c r="R12" s="1011"/>
    </row>
    <row r="13" spans="1:21" ht="21.95" customHeight="1" x14ac:dyDescent="0.25">
      <c r="B13" s="358"/>
      <c r="C13" s="88"/>
      <c r="D13" s="171" t="s">
        <v>635</v>
      </c>
      <c r="E13" s="1012"/>
      <c r="F13" s="1013"/>
      <c r="G13" s="1013"/>
      <c r="H13" s="1013"/>
      <c r="I13" s="1013"/>
      <c r="J13" s="1013"/>
      <c r="K13" s="1013"/>
      <c r="L13" s="1013"/>
      <c r="M13" s="1013"/>
      <c r="N13" s="1013"/>
      <c r="O13" s="1013"/>
      <c r="P13" s="1013"/>
      <c r="Q13" s="1013"/>
      <c r="R13" s="1014"/>
    </row>
    <row r="14" spans="1:21" ht="6.95" customHeight="1" thickBot="1" x14ac:dyDescent="0.3">
      <c r="B14" s="358"/>
      <c r="D14" s="5"/>
      <c r="E14" s="5"/>
      <c r="F14" s="5"/>
      <c r="G14" s="5"/>
      <c r="H14" s="5"/>
      <c r="I14" s="5"/>
      <c r="J14" s="5"/>
      <c r="K14" s="5"/>
    </row>
    <row r="15" spans="1:21" x14ac:dyDescent="0.25">
      <c r="B15" s="974" t="s">
        <v>636</v>
      </c>
      <c r="C15" s="89"/>
      <c r="D15" s="956"/>
      <c r="E15" s="957"/>
      <c r="F15" s="957"/>
      <c r="G15" s="957"/>
      <c r="H15" s="957"/>
      <c r="I15" s="958"/>
      <c r="J15" s="5"/>
      <c r="K15" s="5"/>
    </row>
    <row r="16" spans="1:21" ht="15.75" thickBot="1" x14ac:dyDescent="0.3">
      <c r="B16" s="975"/>
      <c r="C16" s="92"/>
      <c r="D16" s="986" t="s">
        <v>637</v>
      </c>
      <c r="E16" s="987"/>
      <c r="F16" s="987"/>
      <c r="G16" s="987"/>
      <c r="H16" s="987"/>
      <c r="I16" s="988"/>
      <c r="J16" s="5"/>
      <c r="K16" s="5"/>
    </row>
    <row r="17" spans="2:11" ht="15.75" thickBot="1" x14ac:dyDescent="0.3">
      <c r="B17" s="975"/>
      <c r="C17" s="94"/>
      <c r="D17" s="43" t="s">
        <v>763</v>
      </c>
      <c r="E17" s="38" t="s">
        <v>587</v>
      </c>
      <c r="F17" s="38" t="s">
        <v>588</v>
      </c>
      <c r="G17" s="38" t="s">
        <v>589</v>
      </c>
      <c r="H17" s="38" t="s">
        <v>590</v>
      </c>
      <c r="I17" s="38" t="s">
        <v>764</v>
      </c>
      <c r="J17" s="5"/>
      <c r="K17" s="5"/>
    </row>
    <row r="18" spans="2:11" ht="36.75" thickBot="1" x14ac:dyDescent="0.3">
      <c r="B18" s="975"/>
      <c r="C18" s="94"/>
      <c r="D18" s="40" t="s">
        <v>1629</v>
      </c>
      <c r="E18" s="785">
        <v>792</v>
      </c>
      <c r="F18" s="146"/>
      <c r="G18" s="146"/>
      <c r="H18" s="146"/>
      <c r="I18" s="311">
        <f>SUM(E18:H18)</f>
        <v>792</v>
      </c>
      <c r="J18" s="5"/>
      <c r="K18" s="5"/>
    </row>
    <row r="19" spans="2:11" ht="36.75" thickBot="1" x14ac:dyDescent="0.3">
      <c r="B19" s="975"/>
      <c r="C19" s="94"/>
      <c r="D19" s="40" t="s">
        <v>1630</v>
      </c>
      <c r="E19" s="785">
        <v>45</v>
      </c>
      <c r="F19" s="146"/>
      <c r="G19" s="146"/>
      <c r="H19" s="146"/>
      <c r="I19" s="311">
        <f>SUM(E19:H19)</f>
        <v>45</v>
      </c>
      <c r="J19" s="5"/>
      <c r="K19" s="5"/>
    </row>
    <row r="20" spans="2:11" ht="36.75" thickBot="1" x14ac:dyDescent="0.3">
      <c r="B20" s="975"/>
      <c r="C20" s="94"/>
      <c r="D20" s="40" t="s">
        <v>1631</v>
      </c>
      <c r="E20" s="785">
        <v>10</v>
      </c>
      <c r="F20" s="146"/>
      <c r="G20" s="146"/>
      <c r="H20" s="146"/>
      <c r="I20" s="311">
        <f>SUM(E20:H20)</f>
        <v>10</v>
      </c>
      <c r="J20" s="5"/>
      <c r="K20" s="5"/>
    </row>
    <row r="21" spans="2:11" ht="24.75" thickBot="1" x14ac:dyDescent="0.3">
      <c r="B21" s="976"/>
      <c r="C21" s="2"/>
      <c r="D21" s="40" t="s">
        <v>1632</v>
      </c>
      <c r="E21" s="316">
        <f>+(E19+E20)/E18</f>
        <v>6.9444444444444448E-2</v>
      </c>
      <c r="F21" s="316" t="e">
        <f>+(F19+F20)/F18</f>
        <v>#DIV/0!</v>
      </c>
      <c r="G21" s="316" t="e">
        <f>+(G19+G20)/G18</f>
        <v>#DIV/0!</v>
      </c>
      <c r="H21" s="316" t="e">
        <f>+(H19+H20)/H18</f>
        <v>#DIV/0!</v>
      </c>
      <c r="I21" s="316">
        <f>+(I19+I20)/I18</f>
        <v>6.9444444444444448E-2</v>
      </c>
      <c r="J21" s="5"/>
      <c r="K21" s="5"/>
    </row>
    <row r="22" spans="2:11" ht="36" customHeight="1" thickBot="1" x14ac:dyDescent="0.3">
      <c r="B22" s="47" t="s">
        <v>671</v>
      </c>
      <c r="C22" s="93"/>
      <c r="D22" s="983" t="s">
        <v>1633</v>
      </c>
      <c r="E22" s="984"/>
      <c r="F22" s="984"/>
      <c r="G22" s="984"/>
      <c r="H22" s="984"/>
      <c r="I22" s="985"/>
      <c r="J22" s="5"/>
      <c r="K22" s="5"/>
    </row>
    <row r="23" spans="2:11" ht="36" customHeight="1" thickBot="1" x14ac:dyDescent="0.3">
      <c r="B23" s="47" t="s">
        <v>673</v>
      </c>
      <c r="C23" s="93"/>
      <c r="D23" s="983" t="s">
        <v>772</v>
      </c>
      <c r="E23" s="984"/>
      <c r="F23" s="984"/>
      <c r="G23" s="984"/>
      <c r="H23" s="984"/>
      <c r="I23" s="985"/>
      <c r="J23" s="5"/>
      <c r="K23" s="5"/>
    </row>
    <row r="24" spans="2:11" ht="15.75" thickBot="1" x14ac:dyDescent="0.3">
      <c r="B24" s="1"/>
      <c r="C24" s="76"/>
      <c r="D24" s="5"/>
      <c r="E24" s="5"/>
      <c r="F24" s="5"/>
      <c r="G24" s="5"/>
      <c r="H24" s="5"/>
      <c r="I24" s="5"/>
      <c r="J24" s="5"/>
      <c r="K24" s="5"/>
    </row>
    <row r="25" spans="2:11" ht="24" customHeight="1" thickBot="1" x14ac:dyDescent="0.3">
      <c r="B25" s="971" t="s">
        <v>675</v>
      </c>
      <c r="C25" s="972"/>
      <c r="D25" s="972"/>
      <c r="E25" s="973"/>
      <c r="F25" s="5"/>
      <c r="G25" s="5"/>
      <c r="H25" s="5"/>
      <c r="I25" s="5"/>
      <c r="J25" s="5"/>
      <c r="K25" s="5"/>
    </row>
    <row r="26" spans="2:11" ht="48.75" thickBot="1" x14ac:dyDescent="0.3">
      <c r="B26" s="974">
        <v>1</v>
      </c>
      <c r="C26" s="94"/>
      <c r="D26" s="48" t="s">
        <v>676</v>
      </c>
      <c r="E26" s="337" t="s">
        <v>2301</v>
      </c>
      <c r="F26" s="5"/>
      <c r="G26" s="5"/>
      <c r="H26" s="5"/>
      <c r="I26" s="5"/>
      <c r="J26" s="5"/>
      <c r="K26" s="5"/>
    </row>
    <row r="27" spans="2:11" ht="48.75" thickBot="1" x14ac:dyDescent="0.3">
      <c r="B27" s="975"/>
      <c r="C27" s="94"/>
      <c r="D27" s="40" t="s">
        <v>525</v>
      </c>
      <c r="E27" s="337" t="s">
        <v>2311</v>
      </c>
      <c r="F27" s="5"/>
      <c r="G27" s="5"/>
      <c r="H27" s="5"/>
      <c r="I27" s="5"/>
      <c r="J27" s="5"/>
      <c r="K27" s="5"/>
    </row>
    <row r="28" spans="2:11" ht="36.75" thickBot="1" x14ac:dyDescent="0.3">
      <c r="B28" s="975"/>
      <c r="C28" s="94"/>
      <c r="D28" s="40" t="s">
        <v>677</v>
      </c>
      <c r="E28" s="337" t="s">
        <v>2303</v>
      </c>
      <c r="F28" s="5"/>
      <c r="G28" s="5"/>
      <c r="H28" s="5"/>
      <c r="I28" s="5"/>
      <c r="J28" s="5"/>
      <c r="K28" s="5"/>
    </row>
    <row r="29" spans="2:11" ht="15.75" thickBot="1" x14ac:dyDescent="0.3">
      <c r="B29" s="975"/>
      <c r="C29" s="94"/>
      <c r="D29" s="40" t="s">
        <v>527</v>
      </c>
      <c r="E29" s="337" t="s">
        <v>2304</v>
      </c>
      <c r="F29" s="5"/>
      <c r="G29" s="5"/>
      <c r="H29" s="5"/>
      <c r="I29" s="5"/>
      <c r="J29" s="5"/>
      <c r="K29" s="5"/>
    </row>
    <row r="30" spans="2:11" ht="60.75" thickBot="1" x14ac:dyDescent="0.3">
      <c r="B30" s="975"/>
      <c r="C30" s="94"/>
      <c r="D30" s="40" t="s">
        <v>529</v>
      </c>
      <c r="E30" s="766" t="s">
        <v>2309</v>
      </c>
      <c r="F30" s="5"/>
      <c r="G30" s="5"/>
      <c r="H30" s="5"/>
      <c r="I30" s="5"/>
      <c r="J30" s="5"/>
      <c r="K30" s="5"/>
    </row>
    <row r="31" spans="2:11" ht="15.75" thickBot="1" x14ac:dyDescent="0.3">
      <c r="B31" s="975"/>
      <c r="C31" s="94"/>
      <c r="D31" s="40" t="s">
        <v>531</v>
      </c>
      <c r="E31" s="337">
        <v>5748960</v>
      </c>
      <c r="F31" s="5"/>
      <c r="G31" s="5"/>
      <c r="H31" s="5"/>
      <c r="I31" s="5"/>
      <c r="J31" s="5"/>
      <c r="K31" s="5"/>
    </row>
    <row r="32" spans="2:11" ht="60.75" thickBot="1" x14ac:dyDescent="0.3">
      <c r="B32" s="976"/>
      <c r="C32" s="2"/>
      <c r="D32" s="40" t="s">
        <v>678</v>
      </c>
      <c r="E32" s="337" t="s">
        <v>2312</v>
      </c>
      <c r="F32" s="5"/>
      <c r="G32" s="5"/>
      <c r="H32" s="5"/>
      <c r="I32" s="5"/>
      <c r="J32" s="5"/>
      <c r="K32" s="5"/>
    </row>
    <row r="33" spans="2:11" ht="15.75" thickBot="1" x14ac:dyDescent="0.3">
      <c r="B33" s="1"/>
      <c r="C33" s="76"/>
      <c r="D33" s="5"/>
      <c r="E33" s="5"/>
      <c r="F33" s="5"/>
      <c r="G33" s="5"/>
      <c r="H33" s="5"/>
      <c r="I33" s="5"/>
      <c r="J33" s="5"/>
      <c r="K33" s="5"/>
    </row>
    <row r="34" spans="2:11" ht="15.75" thickBot="1" x14ac:dyDescent="0.3">
      <c r="B34" s="971" t="s">
        <v>679</v>
      </c>
      <c r="C34" s="972"/>
      <c r="D34" s="972"/>
      <c r="E34" s="973"/>
      <c r="F34" s="5"/>
      <c r="G34" s="5"/>
      <c r="H34" s="5"/>
      <c r="I34" s="5"/>
      <c r="J34" s="5"/>
      <c r="K34" s="5"/>
    </row>
    <row r="35" spans="2:11" ht="15.75" thickBot="1" x14ac:dyDescent="0.3">
      <c r="B35" s="974">
        <v>1</v>
      </c>
      <c r="C35" s="94"/>
      <c r="D35" s="48" t="s">
        <v>676</v>
      </c>
      <c r="E35" s="219" t="s">
        <v>680</v>
      </c>
      <c r="F35" s="5"/>
      <c r="G35" s="5"/>
      <c r="H35" s="5"/>
      <c r="I35" s="5"/>
      <c r="J35" s="5"/>
      <c r="K35" s="5"/>
    </row>
    <row r="36" spans="2:11" ht="15.75" thickBot="1" x14ac:dyDescent="0.3">
      <c r="B36" s="975"/>
      <c r="C36" s="94"/>
      <c r="D36" s="40" t="s">
        <v>525</v>
      </c>
      <c r="E36" s="315" t="s">
        <v>681</v>
      </c>
      <c r="F36" s="5"/>
      <c r="G36" s="5"/>
      <c r="H36" s="5"/>
      <c r="I36" s="5"/>
      <c r="J36" s="5"/>
      <c r="K36" s="5"/>
    </row>
    <row r="37" spans="2:11" ht="15.75" thickBot="1" x14ac:dyDescent="0.3">
      <c r="B37" s="975"/>
      <c r="C37" s="94"/>
      <c r="D37" s="40" t="s">
        <v>677</v>
      </c>
      <c r="E37" s="165"/>
      <c r="F37" s="5"/>
      <c r="G37" s="5"/>
      <c r="H37" s="5"/>
      <c r="I37" s="5"/>
      <c r="J37" s="5"/>
      <c r="K37" s="5"/>
    </row>
    <row r="38" spans="2:11" ht="15.75" thickBot="1" x14ac:dyDescent="0.3">
      <c r="B38" s="975"/>
      <c r="C38" s="94"/>
      <c r="D38" s="40" t="s">
        <v>527</v>
      </c>
      <c r="E38" s="165"/>
      <c r="F38" s="5"/>
      <c r="G38" s="5"/>
      <c r="H38" s="5"/>
      <c r="I38" s="5"/>
      <c r="J38" s="5"/>
      <c r="K38" s="5"/>
    </row>
    <row r="39" spans="2:11" ht="15.75" thickBot="1" x14ac:dyDescent="0.3">
      <c r="B39" s="975"/>
      <c r="C39" s="94"/>
      <c r="D39" s="40" t="s">
        <v>529</v>
      </c>
      <c r="E39" s="165"/>
      <c r="F39" s="5"/>
      <c r="G39" s="5"/>
      <c r="H39" s="5"/>
      <c r="I39" s="5"/>
      <c r="J39" s="5"/>
      <c r="K39" s="5"/>
    </row>
    <row r="40" spans="2:11" ht="15.75" thickBot="1" x14ac:dyDescent="0.3">
      <c r="B40" s="975"/>
      <c r="C40" s="94"/>
      <c r="D40" s="40" t="s">
        <v>531</v>
      </c>
      <c r="E40" s="165"/>
      <c r="F40" s="5"/>
      <c r="G40" s="5"/>
      <c r="H40" s="5"/>
      <c r="I40" s="5"/>
      <c r="J40" s="5"/>
      <c r="K40" s="5"/>
    </row>
    <row r="41" spans="2:11" ht="15.75" thickBot="1" x14ac:dyDescent="0.3">
      <c r="B41" s="976"/>
      <c r="C41" s="2"/>
      <c r="D41" s="40" t="s">
        <v>678</v>
      </c>
      <c r="E41" s="165"/>
      <c r="F41" s="5"/>
      <c r="G41" s="5"/>
      <c r="H41" s="5"/>
      <c r="I41" s="5"/>
      <c r="J41" s="5"/>
      <c r="K41" s="5"/>
    </row>
    <row r="42" spans="2:11" ht="15.75" thickBot="1" x14ac:dyDescent="0.3">
      <c r="B42" s="1"/>
      <c r="C42" s="76"/>
      <c r="D42" s="5"/>
      <c r="E42" s="5"/>
      <c r="F42" s="5"/>
      <c r="G42" s="5"/>
      <c r="H42" s="5"/>
      <c r="I42" s="5"/>
      <c r="J42" s="5"/>
      <c r="K42" s="5"/>
    </row>
    <row r="43" spans="2:11" ht="15" customHeight="1" thickBot="1" x14ac:dyDescent="0.3">
      <c r="B43" s="122" t="s">
        <v>682</v>
      </c>
      <c r="C43" s="123"/>
      <c r="D43" s="123"/>
      <c r="E43" s="124"/>
      <c r="G43" s="5"/>
      <c r="H43" s="5"/>
      <c r="I43" s="5"/>
      <c r="J43" s="5"/>
      <c r="K43" s="5"/>
    </row>
    <row r="44" spans="2:11" ht="24.75" thickBot="1" x14ac:dyDescent="0.3">
      <c r="B44" s="47" t="s">
        <v>683</v>
      </c>
      <c r="C44" s="40" t="s">
        <v>684</v>
      </c>
      <c r="D44" s="40" t="s">
        <v>685</v>
      </c>
      <c r="E44" s="40" t="s">
        <v>686</v>
      </c>
      <c r="F44" s="5"/>
      <c r="G44" s="5"/>
      <c r="H44" s="5"/>
      <c r="I44" s="5"/>
      <c r="J44" s="5"/>
    </row>
    <row r="45" spans="2:11" ht="60.75" thickBot="1" x14ac:dyDescent="0.3">
      <c r="B45" s="49">
        <v>42401</v>
      </c>
      <c r="C45" s="40">
        <v>0.01</v>
      </c>
      <c r="D45" s="50" t="s">
        <v>1634</v>
      </c>
      <c r="E45" s="40"/>
      <c r="F45" s="5"/>
      <c r="G45" s="5"/>
      <c r="H45" s="5"/>
      <c r="I45" s="5"/>
      <c r="J45" s="5"/>
    </row>
    <row r="46" spans="2:11" ht="15.75" thickBot="1" x14ac:dyDescent="0.3">
      <c r="B46" s="1"/>
      <c r="C46" s="76"/>
      <c r="D46" s="5"/>
      <c r="E46" s="5"/>
      <c r="F46" s="5"/>
      <c r="G46" s="5"/>
      <c r="H46" s="5"/>
      <c r="I46" s="5"/>
      <c r="J46" s="5"/>
      <c r="K46" s="5"/>
    </row>
    <row r="47" spans="2:11" x14ac:dyDescent="0.25">
      <c r="B47" s="129" t="s">
        <v>593</v>
      </c>
      <c r="C47" s="96"/>
      <c r="D47" s="5"/>
      <c r="E47" s="5"/>
      <c r="F47" s="5"/>
      <c r="G47" s="5"/>
      <c r="H47" s="5"/>
      <c r="I47" s="5"/>
      <c r="J47" s="5"/>
      <c r="K47" s="5"/>
    </row>
    <row r="48" spans="2:11" x14ac:dyDescent="0.25">
      <c r="B48" s="1162"/>
      <c r="C48" s="1163"/>
      <c r="D48" s="1163"/>
      <c r="E48" s="1164"/>
      <c r="F48" s="5"/>
      <c r="G48" s="5"/>
      <c r="H48" s="5"/>
      <c r="I48" s="5"/>
      <c r="J48" s="5"/>
      <c r="K48" s="5"/>
    </row>
    <row r="49" spans="2:11" x14ac:dyDescent="0.25">
      <c r="B49" s="1165"/>
      <c r="C49" s="1166"/>
      <c r="D49" s="1166"/>
      <c r="E49" s="1167"/>
      <c r="F49" s="5"/>
      <c r="G49" s="5"/>
      <c r="H49" s="5"/>
      <c r="I49" s="5"/>
      <c r="J49" s="5"/>
      <c r="K49" s="5"/>
    </row>
    <row r="50" spans="2:11" ht="15.75" thickBot="1" x14ac:dyDescent="0.3">
      <c r="B50" s="5"/>
      <c r="D50" s="5"/>
      <c r="E50" s="5"/>
      <c r="F50" s="5"/>
      <c r="G50" s="5"/>
      <c r="H50" s="5"/>
      <c r="I50" s="5"/>
      <c r="J50" s="5"/>
      <c r="K50" s="5"/>
    </row>
    <row r="51" spans="2:11" ht="24.75" thickBot="1" x14ac:dyDescent="0.3">
      <c r="B51" s="51" t="s">
        <v>688</v>
      </c>
      <c r="C51" s="97"/>
      <c r="D51" s="5"/>
      <c r="E51" s="5"/>
      <c r="F51" s="5"/>
      <c r="G51" s="5"/>
      <c r="H51" s="5"/>
      <c r="I51" s="5"/>
      <c r="J51" s="5"/>
      <c r="K51" s="5"/>
    </row>
    <row r="52" spans="2:11" ht="15.75" thickBot="1" x14ac:dyDescent="0.3">
      <c r="B52" s="1"/>
      <c r="C52" s="76"/>
      <c r="D52" s="5"/>
      <c r="E52" s="5"/>
      <c r="F52" s="5"/>
      <c r="G52" s="5"/>
      <c r="H52" s="5"/>
      <c r="I52" s="5"/>
      <c r="J52" s="5"/>
      <c r="K52" s="5"/>
    </row>
    <row r="53" spans="2:11" ht="84.75" thickBot="1" x14ac:dyDescent="0.3">
      <c r="B53" s="52" t="s">
        <v>689</v>
      </c>
      <c r="C53" s="98"/>
      <c r="D53" s="43" t="s">
        <v>1635</v>
      </c>
      <c r="E53" s="5"/>
      <c r="F53" s="5"/>
      <c r="G53" s="5"/>
      <c r="H53" s="5"/>
      <c r="I53" s="5"/>
      <c r="J53" s="5"/>
      <c r="K53" s="5"/>
    </row>
    <row r="54" spans="2:11" x14ac:dyDescent="0.25">
      <c r="B54" s="974" t="s">
        <v>691</v>
      </c>
      <c r="C54" s="94"/>
      <c r="D54" s="53" t="s">
        <v>692</v>
      </c>
      <c r="E54" s="5"/>
      <c r="F54" s="5"/>
      <c r="G54" s="5"/>
      <c r="H54" s="5"/>
      <c r="I54" s="5"/>
      <c r="J54" s="5"/>
      <c r="K54" s="5"/>
    </row>
    <row r="55" spans="2:11" ht="72" x14ac:dyDescent="0.25">
      <c r="B55" s="975"/>
      <c r="C55" s="94"/>
      <c r="D55" s="53" t="s">
        <v>1636</v>
      </c>
      <c r="E55" s="5"/>
      <c r="F55" s="5"/>
      <c r="G55" s="5"/>
      <c r="H55" s="5"/>
      <c r="I55" s="5"/>
      <c r="J55" s="5"/>
      <c r="K55" s="5"/>
    </row>
    <row r="56" spans="2:11" x14ac:dyDescent="0.25">
      <c r="B56" s="975"/>
      <c r="C56" s="94"/>
      <c r="D56" s="53" t="s">
        <v>777</v>
      </c>
      <c r="E56" s="5"/>
      <c r="F56" s="5"/>
      <c r="G56" s="5"/>
      <c r="H56" s="5"/>
      <c r="I56" s="5"/>
      <c r="J56" s="5"/>
      <c r="K56" s="5"/>
    </row>
    <row r="57" spans="2:11" ht="24" x14ac:dyDescent="0.25">
      <c r="B57" s="975"/>
      <c r="C57" s="94"/>
      <c r="D57" s="46" t="s">
        <v>1637</v>
      </c>
      <c r="E57" s="5"/>
      <c r="F57" s="5"/>
      <c r="G57" s="5"/>
      <c r="H57" s="5"/>
      <c r="I57" s="5"/>
      <c r="J57" s="5"/>
      <c r="K57" s="5"/>
    </row>
    <row r="58" spans="2:11" ht="24" x14ac:dyDescent="0.25">
      <c r="B58" s="975"/>
      <c r="C58" s="94"/>
      <c r="D58" s="46" t="s">
        <v>1638</v>
      </c>
      <c r="E58" s="5"/>
      <c r="F58" s="5"/>
      <c r="G58" s="5"/>
      <c r="H58" s="5"/>
      <c r="I58" s="5"/>
      <c r="J58" s="5"/>
      <c r="K58" s="5"/>
    </row>
    <row r="59" spans="2:11" ht="15.75" thickBot="1" x14ac:dyDescent="0.3">
      <c r="B59" s="976"/>
      <c r="C59" s="2"/>
      <c r="D59" s="40" t="s">
        <v>697</v>
      </c>
      <c r="E59" s="5"/>
      <c r="F59" s="5"/>
      <c r="G59" s="5"/>
      <c r="H59" s="5"/>
      <c r="I59" s="5"/>
      <c r="J59" s="5"/>
      <c r="K59" s="5"/>
    </row>
    <row r="60" spans="2:11" ht="24.75" thickBot="1" x14ac:dyDescent="0.3">
      <c r="B60" s="47" t="s">
        <v>704</v>
      </c>
      <c r="C60" s="2"/>
      <c r="D60" s="40"/>
      <c r="E60" s="5"/>
      <c r="F60" s="5"/>
      <c r="G60" s="5"/>
      <c r="H60" s="5"/>
      <c r="I60" s="5"/>
      <c r="J60" s="5"/>
      <c r="K60" s="5"/>
    </row>
    <row r="61" spans="2:11" ht="132" x14ac:dyDescent="0.25">
      <c r="B61" s="974" t="s">
        <v>705</v>
      </c>
      <c r="C61" s="94"/>
      <c r="D61" s="46" t="s">
        <v>1639</v>
      </c>
      <c r="E61" s="5"/>
      <c r="F61" s="5"/>
      <c r="G61" s="5"/>
      <c r="H61" s="5"/>
      <c r="I61" s="5"/>
      <c r="J61" s="5"/>
      <c r="K61" s="5"/>
    </row>
    <row r="62" spans="2:11" ht="324" x14ac:dyDescent="0.25">
      <c r="B62" s="975"/>
      <c r="C62" s="94"/>
      <c r="D62" s="46" t="s">
        <v>1640</v>
      </c>
      <c r="E62" s="5"/>
      <c r="F62" s="5"/>
      <c r="G62" s="5"/>
      <c r="H62" s="5"/>
      <c r="I62" s="5"/>
      <c r="J62" s="5"/>
      <c r="K62" s="5"/>
    </row>
    <row r="63" spans="2:11" ht="84" x14ac:dyDescent="0.25">
      <c r="B63" s="975"/>
      <c r="C63" s="94"/>
      <c r="D63" s="46" t="s">
        <v>1641</v>
      </c>
      <c r="E63" s="5"/>
      <c r="F63" s="5"/>
      <c r="G63" s="5"/>
      <c r="H63" s="5"/>
      <c r="I63" s="5"/>
      <c r="J63" s="5"/>
      <c r="K63" s="5"/>
    </row>
    <row r="64" spans="2:11" ht="72" x14ac:dyDescent="0.25">
      <c r="B64" s="975"/>
      <c r="C64" s="94"/>
      <c r="D64" s="46" t="s">
        <v>1642</v>
      </c>
      <c r="E64" s="5"/>
      <c r="F64" s="5"/>
      <c r="G64" s="5"/>
      <c r="H64" s="5"/>
      <c r="I64" s="5"/>
      <c r="J64" s="5"/>
      <c r="K64" s="5"/>
    </row>
    <row r="65" spans="2:11" ht="60.75" thickBot="1" x14ac:dyDescent="0.3">
      <c r="B65" s="976"/>
      <c r="C65" s="2"/>
      <c r="D65" s="40" t="s">
        <v>1643</v>
      </c>
      <c r="E65" s="5"/>
      <c r="F65" s="5"/>
      <c r="G65" s="5"/>
      <c r="H65" s="5"/>
      <c r="I65" s="5"/>
      <c r="J65" s="5"/>
      <c r="K65" s="5"/>
    </row>
    <row r="66" spans="2:11" x14ac:dyDescent="0.25">
      <c r="B66" s="974" t="s">
        <v>722</v>
      </c>
      <c r="C66" s="94"/>
      <c r="D66" s="46"/>
      <c r="E66" s="5"/>
      <c r="F66" s="5"/>
      <c r="G66" s="5"/>
      <c r="H66" s="5"/>
      <c r="I66" s="5"/>
      <c r="J66" s="5"/>
      <c r="K66" s="5"/>
    </row>
    <row r="67" spans="2:11" x14ac:dyDescent="0.25">
      <c r="B67" s="975"/>
      <c r="C67" s="94"/>
      <c r="D67" s="16"/>
      <c r="E67" s="5"/>
      <c r="F67" s="5"/>
      <c r="G67" s="5"/>
      <c r="H67" s="5"/>
      <c r="I67" s="5"/>
      <c r="J67" s="5"/>
      <c r="K67" s="5"/>
    </row>
    <row r="68" spans="2:11" x14ac:dyDescent="0.25">
      <c r="B68" s="975"/>
      <c r="C68" s="94"/>
      <c r="D68" s="46" t="s">
        <v>723</v>
      </c>
      <c r="E68" s="5"/>
      <c r="F68" s="5"/>
      <c r="G68" s="5"/>
      <c r="H68" s="5"/>
      <c r="I68" s="5"/>
      <c r="J68" s="5"/>
      <c r="K68" s="5"/>
    </row>
    <row r="69" spans="2:11" ht="25.5" x14ac:dyDescent="0.25">
      <c r="B69" s="975"/>
      <c r="C69" s="94"/>
      <c r="D69" s="46" t="s">
        <v>1644</v>
      </c>
      <c r="E69" s="5"/>
      <c r="F69" s="5"/>
      <c r="G69" s="5"/>
      <c r="H69" s="5"/>
      <c r="I69" s="5"/>
      <c r="J69" s="5"/>
      <c r="K69" s="5"/>
    </row>
    <row r="70" spans="2:11" ht="37.5" x14ac:dyDescent="0.25">
      <c r="B70" s="975"/>
      <c r="C70" s="94"/>
      <c r="D70" s="46" t="s">
        <v>1645</v>
      </c>
      <c r="E70" s="5"/>
      <c r="F70" s="5"/>
      <c r="G70" s="5"/>
      <c r="H70" s="5"/>
      <c r="I70" s="5"/>
      <c r="J70" s="5"/>
      <c r="K70" s="5"/>
    </row>
    <row r="71" spans="2:11" ht="37.5" x14ac:dyDescent="0.25">
      <c r="B71" s="975"/>
      <c r="C71" s="94"/>
      <c r="D71" s="46" t="s">
        <v>1646</v>
      </c>
      <c r="E71" s="5"/>
      <c r="F71" s="5"/>
      <c r="G71" s="5"/>
      <c r="H71" s="5"/>
      <c r="I71" s="5"/>
      <c r="J71" s="5"/>
      <c r="K71" s="5"/>
    </row>
    <row r="72" spans="2:11" ht="36" x14ac:dyDescent="0.25">
      <c r="B72" s="975"/>
      <c r="C72" s="94"/>
      <c r="D72" s="46" t="s">
        <v>1647</v>
      </c>
      <c r="E72" s="5"/>
      <c r="F72" s="5"/>
      <c r="G72" s="5"/>
      <c r="H72" s="5"/>
      <c r="I72" s="5"/>
      <c r="J72" s="5"/>
      <c r="K72" s="5"/>
    </row>
    <row r="73" spans="2:11" ht="120.75" thickBot="1" x14ac:dyDescent="0.3">
      <c r="B73" s="976"/>
      <c r="C73" s="2"/>
      <c r="D73" s="40" t="s">
        <v>1648</v>
      </c>
      <c r="E73" s="5"/>
      <c r="F73" s="5"/>
      <c r="G73" s="5"/>
      <c r="H73" s="5"/>
      <c r="I73" s="5"/>
      <c r="J73" s="5"/>
      <c r="K73" s="5"/>
    </row>
    <row r="74" spans="2:11" x14ac:dyDescent="0.25">
      <c r="B74" s="5"/>
      <c r="D74" s="5"/>
      <c r="E74" s="5"/>
      <c r="F74" s="5"/>
      <c r="G74" s="5"/>
      <c r="H74" s="5"/>
      <c r="I74" s="5"/>
      <c r="J74" s="5"/>
      <c r="K74" s="5"/>
    </row>
    <row r="75" spans="2:11" x14ac:dyDescent="0.25">
      <c r="B75" s="5"/>
      <c r="D75" s="5"/>
      <c r="E75" s="5"/>
      <c r="F75" s="5"/>
      <c r="G75" s="5"/>
      <c r="H75" s="5"/>
      <c r="I75" s="5"/>
      <c r="J75" s="5"/>
      <c r="K75" s="5"/>
    </row>
    <row r="76" spans="2:11" x14ac:dyDescent="0.25">
      <c r="B76" s="5"/>
      <c r="D76" s="5"/>
      <c r="E76" s="5"/>
      <c r="F76" s="5"/>
      <c r="G76" s="5"/>
      <c r="H76" s="5"/>
      <c r="I76" s="5"/>
      <c r="J76" s="5"/>
      <c r="K76" s="5"/>
    </row>
    <row r="77" spans="2:11" x14ac:dyDescent="0.25">
      <c r="B77" s="5"/>
      <c r="D77" s="5"/>
      <c r="E77" s="5"/>
      <c r="F77" s="5"/>
      <c r="G77" s="5"/>
      <c r="H77" s="5"/>
      <c r="I77" s="5"/>
      <c r="J77" s="5"/>
      <c r="K77" s="5"/>
    </row>
    <row r="78" spans="2:11" x14ac:dyDescent="0.25">
      <c r="B78" s="5"/>
      <c r="D78" s="5"/>
      <c r="E78" s="5"/>
      <c r="F78" s="5"/>
      <c r="G78" s="5"/>
      <c r="H78" s="5"/>
      <c r="I78" s="5"/>
      <c r="J78" s="5"/>
      <c r="K78" s="5"/>
    </row>
    <row r="79" spans="2:11" x14ac:dyDescent="0.25">
      <c r="B79" s="5"/>
      <c r="D79" s="5"/>
      <c r="E79" s="5"/>
      <c r="F79" s="5"/>
      <c r="G79" s="5"/>
      <c r="H79" s="5"/>
      <c r="I79" s="5"/>
      <c r="J79" s="5"/>
      <c r="K79" s="5"/>
    </row>
    <row r="80" spans="2:11" x14ac:dyDescent="0.25">
      <c r="B80" s="5"/>
      <c r="D80" s="5"/>
      <c r="E80" s="5"/>
      <c r="F80" s="5"/>
      <c r="G80" s="5"/>
      <c r="H80" s="5"/>
      <c r="I80" s="5"/>
      <c r="J80" s="5"/>
      <c r="K80" s="5"/>
    </row>
    <row r="81" spans="2:11" x14ac:dyDescent="0.25">
      <c r="B81" s="5"/>
      <c r="D81" s="5"/>
      <c r="E81" s="5"/>
      <c r="F81" s="5"/>
      <c r="G81" s="5"/>
      <c r="H81" s="5"/>
      <c r="I81" s="5"/>
      <c r="J81" s="5"/>
      <c r="K81" s="5"/>
    </row>
    <row r="82" spans="2:11" x14ac:dyDescent="0.25">
      <c r="B82" s="5"/>
      <c r="D82" s="5"/>
      <c r="E82" s="5"/>
      <c r="F82" s="5"/>
      <c r="G82" s="5"/>
      <c r="H82" s="5"/>
      <c r="I82" s="5"/>
      <c r="J82" s="5"/>
      <c r="K82" s="5"/>
    </row>
    <row r="83" spans="2:11" x14ac:dyDescent="0.25">
      <c r="B83" s="5"/>
      <c r="D83" s="5"/>
      <c r="E83" s="5"/>
      <c r="F83" s="5"/>
      <c r="G83" s="5"/>
      <c r="H83" s="5"/>
      <c r="I83" s="5"/>
      <c r="J83" s="5"/>
      <c r="K83" s="5"/>
    </row>
    <row r="84" spans="2:11" x14ac:dyDescent="0.25">
      <c r="B84" s="5"/>
      <c r="D84" s="5"/>
      <c r="E84" s="5"/>
      <c r="F84" s="5"/>
      <c r="G84" s="5"/>
      <c r="H84" s="5"/>
      <c r="I84" s="5"/>
      <c r="J84" s="5"/>
      <c r="K84" s="5"/>
    </row>
    <row r="85" spans="2:11" x14ac:dyDescent="0.25">
      <c r="B85" s="5"/>
      <c r="D85" s="5"/>
      <c r="E85" s="5"/>
      <c r="F85" s="5"/>
      <c r="G85" s="5"/>
      <c r="H85" s="5"/>
      <c r="I85" s="5"/>
      <c r="J85" s="5"/>
      <c r="K85" s="5"/>
    </row>
    <row r="86" spans="2:11" x14ac:dyDescent="0.25">
      <c r="B86" s="5"/>
      <c r="D86" s="5"/>
      <c r="E86" s="5"/>
      <c r="F86" s="5"/>
      <c r="G86" s="5"/>
      <c r="H86" s="5"/>
      <c r="I86" s="5"/>
      <c r="J86" s="5"/>
      <c r="K86" s="5"/>
    </row>
    <row r="87" spans="2:11" x14ac:dyDescent="0.25">
      <c r="B87" s="5"/>
      <c r="D87" s="5"/>
      <c r="E87" s="5"/>
      <c r="F87" s="5"/>
      <c r="G87" s="5"/>
      <c r="H87" s="5"/>
      <c r="I87" s="5"/>
      <c r="J87" s="5"/>
      <c r="K87" s="5"/>
    </row>
    <row r="88" spans="2:11" x14ac:dyDescent="0.25">
      <c r="B88" s="5"/>
      <c r="D88" s="5"/>
      <c r="E88" s="5"/>
      <c r="F88" s="5"/>
      <c r="G88" s="5"/>
      <c r="H88" s="5"/>
      <c r="I88" s="5"/>
      <c r="J88" s="5"/>
      <c r="K88" s="5"/>
    </row>
    <row r="89" spans="2:11" x14ac:dyDescent="0.25">
      <c r="B89" s="5"/>
      <c r="D89" s="5"/>
      <c r="E89" s="5"/>
      <c r="F89" s="5"/>
      <c r="G89" s="5"/>
      <c r="H89" s="5"/>
      <c r="I89" s="5"/>
      <c r="J89" s="5"/>
      <c r="K89" s="5"/>
    </row>
    <row r="90" spans="2:11" x14ac:dyDescent="0.25">
      <c r="B90" s="5"/>
      <c r="D90" s="5"/>
      <c r="E90" s="5"/>
      <c r="F90" s="5"/>
      <c r="G90" s="5"/>
      <c r="H90" s="5"/>
      <c r="I90" s="5"/>
      <c r="J90" s="5"/>
      <c r="K90" s="5"/>
    </row>
    <row r="91" spans="2:11" x14ac:dyDescent="0.25">
      <c r="B91" s="5"/>
      <c r="D91" s="5"/>
      <c r="E91" s="5"/>
      <c r="F91" s="5"/>
      <c r="G91" s="5"/>
      <c r="H91" s="5"/>
      <c r="I91" s="5"/>
      <c r="J91" s="5"/>
      <c r="K91" s="5"/>
    </row>
    <row r="92" spans="2:11" x14ac:dyDescent="0.25">
      <c r="B92" s="5"/>
      <c r="D92" s="5"/>
      <c r="E92" s="5"/>
      <c r="F92" s="5"/>
      <c r="G92" s="5"/>
      <c r="H92" s="5"/>
      <c r="I92" s="5"/>
      <c r="J92" s="5"/>
      <c r="K92" s="5"/>
    </row>
    <row r="93" spans="2:11" x14ac:dyDescent="0.25">
      <c r="B93" s="5"/>
      <c r="D93" s="5"/>
      <c r="E93" s="5"/>
      <c r="F93" s="5"/>
      <c r="G93" s="5"/>
      <c r="H93" s="5"/>
      <c r="I93" s="5"/>
      <c r="J93" s="5"/>
      <c r="K93" s="5"/>
    </row>
    <row r="94" spans="2:11" x14ac:dyDescent="0.25">
      <c r="B94" s="5"/>
      <c r="D94" s="5"/>
      <c r="E94" s="5"/>
      <c r="F94" s="5"/>
      <c r="G94" s="5"/>
      <c r="H94" s="5"/>
      <c r="I94" s="5"/>
      <c r="J94" s="5"/>
      <c r="K94" s="5"/>
    </row>
    <row r="95" spans="2:11" x14ac:dyDescent="0.25">
      <c r="B95" s="5"/>
      <c r="D95" s="5"/>
      <c r="E95" s="5"/>
      <c r="F95" s="5"/>
      <c r="G95" s="5"/>
      <c r="H95" s="5"/>
      <c r="I95" s="5"/>
      <c r="J95" s="5"/>
      <c r="K95" s="5"/>
    </row>
    <row r="96" spans="2:11" x14ac:dyDescent="0.25">
      <c r="B96" s="5"/>
      <c r="D96" s="5"/>
      <c r="E96" s="5"/>
      <c r="F96" s="5"/>
      <c r="G96" s="5"/>
      <c r="H96" s="5"/>
      <c r="I96" s="5"/>
      <c r="J96" s="5"/>
      <c r="K96" s="5"/>
    </row>
    <row r="97" spans="2:11" x14ac:dyDescent="0.25">
      <c r="B97" s="5"/>
      <c r="D97" s="5"/>
      <c r="E97" s="5"/>
      <c r="F97" s="5"/>
      <c r="G97" s="5"/>
      <c r="H97" s="5"/>
      <c r="I97" s="5"/>
      <c r="J97" s="5"/>
      <c r="K97" s="5"/>
    </row>
    <row r="98" spans="2:11" x14ac:dyDescent="0.25">
      <c r="B98" s="5"/>
      <c r="D98" s="5"/>
      <c r="E98" s="5"/>
      <c r="F98" s="5"/>
      <c r="G98" s="5"/>
      <c r="H98" s="5"/>
      <c r="I98" s="5"/>
      <c r="J98" s="5"/>
      <c r="K98" s="5"/>
    </row>
    <row r="99" spans="2:11" x14ac:dyDescent="0.25">
      <c r="B99" s="5"/>
      <c r="D99" s="5"/>
      <c r="E99" s="5"/>
      <c r="F99" s="5"/>
      <c r="G99" s="5"/>
      <c r="H99" s="5"/>
      <c r="I99" s="5"/>
      <c r="J99" s="5"/>
      <c r="K99" s="5"/>
    </row>
    <row r="100" spans="2:11" x14ac:dyDescent="0.25">
      <c r="B100" s="5"/>
      <c r="D100" s="5"/>
      <c r="E100" s="5"/>
      <c r="F100" s="5"/>
      <c r="G100" s="5"/>
      <c r="H100" s="5"/>
      <c r="I100" s="5"/>
      <c r="J100" s="5"/>
      <c r="K100" s="5"/>
    </row>
    <row r="101" spans="2:11" x14ac:dyDescent="0.25">
      <c r="B101" s="5"/>
      <c r="D101" s="5"/>
      <c r="E101" s="5"/>
      <c r="F101" s="5"/>
      <c r="G101" s="5"/>
      <c r="H101" s="5"/>
      <c r="I101" s="5"/>
      <c r="J101" s="5"/>
      <c r="K101" s="5"/>
    </row>
    <row r="102" spans="2:11" x14ac:dyDescent="0.25">
      <c r="B102" s="5"/>
      <c r="D102" s="5"/>
      <c r="E102" s="5"/>
      <c r="F102" s="5"/>
      <c r="G102" s="5"/>
      <c r="H102" s="5"/>
      <c r="I102" s="5"/>
      <c r="J102" s="5"/>
      <c r="K102" s="5"/>
    </row>
    <row r="103" spans="2:11" x14ac:dyDescent="0.25">
      <c r="B103" s="5"/>
      <c r="D103" s="5"/>
      <c r="E103" s="5"/>
      <c r="F103" s="5"/>
      <c r="G103" s="5"/>
      <c r="H103" s="5"/>
      <c r="I103" s="5"/>
      <c r="J103" s="5"/>
      <c r="K103" s="5"/>
    </row>
    <row r="104" spans="2:11" x14ac:dyDescent="0.25">
      <c r="B104" s="5"/>
      <c r="D104" s="5"/>
      <c r="E104" s="5"/>
      <c r="F104" s="5"/>
      <c r="G104" s="5"/>
      <c r="H104" s="5"/>
      <c r="I104" s="5"/>
      <c r="J104" s="5"/>
      <c r="K104" s="5"/>
    </row>
    <row r="105" spans="2:11" x14ac:dyDescent="0.25">
      <c r="B105" s="5"/>
      <c r="D105" s="5"/>
      <c r="E105" s="5"/>
      <c r="F105" s="5"/>
      <c r="G105" s="5"/>
      <c r="H105" s="5"/>
      <c r="I105" s="5"/>
      <c r="J105" s="5"/>
      <c r="K105" s="5"/>
    </row>
    <row r="106" spans="2:11" x14ac:dyDescent="0.25">
      <c r="B106" s="5"/>
      <c r="D106" s="5"/>
      <c r="E106" s="5"/>
      <c r="F106" s="5"/>
      <c r="G106" s="5"/>
      <c r="H106" s="5"/>
      <c r="I106" s="5"/>
      <c r="J106" s="5"/>
      <c r="K106" s="5"/>
    </row>
    <row r="107" spans="2:11" x14ac:dyDescent="0.25">
      <c r="B107" s="5"/>
      <c r="D107" s="5"/>
      <c r="E107" s="5"/>
      <c r="F107" s="5"/>
      <c r="G107" s="5"/>
      <c r="H107" s="5"/>
      <c r="I107" s="5"/>
      <c r="J107" s="5"/>
      <c r="K107" s="5"/>
    </row>
    <row r="108" spans="2:11" x14ac:dyDescent="0.25">
      <c r="B108" s="5"/>
      <c r="D108" s="5"/>
      <c r="E108" s="5"/>
      <c r="F108" s="5"/>
      <c r="G108" s="5"/>
      <c r="H108" s="5"/>
      <c r="I108" s="5"/>
      <c r="J108" s="5"/>
      <c r="K108" s="5"/>
    </row>
    <row r="109" spans="2:11" x14ac:dyDescent="0.25">
      <c r="B109" s="5"/>
      <c r="D109" s="5"/>
      <c r="E109" s="5"/>
      <c r="F109" s="5"/>
      <c r="G109" s="5"/>
      <c r="H109" s="5"/>
      <c r="I109" s="5"/>
      <c r="J109" s="5"/>
      <c r="K109" s="5"/>
    </row>
    <row r="110" spans="2:11" x14ac:dyDescent="0.25">
      <c r="B110" s="5"/>
      <c r="D110" s="5"/>
      <c r="E110" s="5"/>
      <c r="F110" s="5"/>
      <c r="G110" s="5"/>
      <c r="H110" s="5"/>
      <c r="I110" s="5"/>
      <c r="J110" s="5"/>
      <c r="K110" s="5"/>
    </row>
    <row r="111" spans="2:11" x14ac:dyDescent="0.25">
      <c r="B111" s="5"/>
      <c r="D111" s="5"/>
      <c r="E111" s="5"/>
      <c r="F111" s="5"/>
      <c r="G111" s="5"/>
      <c r="H111" s="5"/>
      <c r="I111" s="5"/>
      <c r="J111" s="5"/>
      <c r="K111" s="5"/>
    </row>
    <row r="112" spans="2:11" x14ac:dyDescent="0.25">
      <c r="B112" s="5"/>
      <c r="D112" s="5"/>
      <c r="E112" s="5"/>
      <c r="F112" s="5"/>
      <c r="G112" s="5"/>
      <c r="H112" s="5"/>
      <c r="I112" s="5"/>
      <c r="J112" s="5"/>
      <c r="K112" s="5"/>
    </row>
    <row r="113" spans="2:11" x14ac:dyDescent="0.25">
      <c r="B113" s="5"/>
      <c r="D113" s="5"/>
      <c r="E113" s="5"/>
      <c r="F113" s="5"/>
      <c r="G113" s="5"/>
      <c r="H113" s="5"/>
      <c r="I113" s="5"/>
      <c r="J113" s="5"/>
      <c r="K113" s="5"/>
    </row>
    <row r="114" spans="2:11" x14ac:dyDescent="0.25">
      <c r="B114" s="5"/>
      <c r="D114" s="5"/>
      <c r="E114" s="5"/>
      <c r="F114" s="5"/>
      <c r="G114" s="5"/>
      <c r="H114" s="5"/>
      <c r="I114" s="5"/>
      <c r="J114" s="5"/>
      <c r="K114" s="5"/>
    </row>
    <row r="115" spans="2:11" x14ac:dyDescent="0.25">
      <c r="B115" s="5"/>
      <c r="D115" s="5"/>
      <c r="E115" s="5"/>
      <c r="F115" s="5"/>
      <c r="G115" s="5"/>
      <c r="H115" s="5"/>
      <c r="I115" s="5"/>
      <c r="J115" s="5"/>
      <c r="K115" s="5"/>
    </row>
    <row r="116" spans="2:11" x14ac:dyDescent="0.25">
      <c r="B116" s="5"/>
      <c r="D116" s="5"/>
      <c r="E116" s="5"/>
      <c r="F116" s="5"/>
      <c r="G116" s="5"/>
      <c r="H116" s="5"/>
      <c r="I116" s="5"/>
      <c r="J116" s="5"/>
      <c r="K116" s="5"/>
    </row>
    <row r="117" spans="2:11" x14ac:dyDescent="0.25">
      <c r="B117" s="5"/>
      <c r="D117" s="5"/>
      <c r="E117" s="5"/>
      <c r="F117" s="5"/>
      <c r="G117" s="5"/>
      <c r="H117" s="5"/>
      <c r="I117" s="5"/>
      <c r="J117" s="5"/>
      <c r="K117" s="5"/>
    </row>
    <row r="118" spans="2:11" x14ac:dyDescent="0.25">
      <c r="B118" s="5"/>
      <c r="D118" s="5"/>
      <c r="E118" s="5"/>
      <c r="F118" s="5"/>
      <c r="G118" s="5"/>
      <c r="H118" s="5"/>
      <c r="I118" s="5"/>
      <c r="J118" s="5"/>
      <c r="K118" s="5"/>
    </row>
    <row r="119" spans="2:11" x14ac:dyDescent="0.25">
      <c r="B119" s="5"/>
      <c r="D119" s="5"/>
      <c r="E119" s="5"/>
      <c r="F119" s="5"/>
      <c r="G119" s="5"/>
      <c r="H119" s="5"/>
      <c r="I119" s="5"/>
      <c r="J119" s="5"/>
      <c r="K119" s="5"/>
    </row>
    <row r="120" spans="2:11" x14ac:dyDescent="0.25">
      <c r="B120" s="5"/>
      <c r="D120" s="5"/>
      <c r="E120" s="5"/>
      <c r="F120" s="5"/>
      <c r="G120" s="5"/>
      <c r="H120" s="5"/>
      <c r="I120" s="5"/>
      <c r="J120" s="5"/>
      <c r="K120" s="5"/>
    </row>
    <row r="121" spans="2:11" x14ac:dyDescent="0.25">
      <c r="B121" s="5"/>
      <c r="D121" s="5"/>
      <c r="E121" s="5"/>
      <c r="F121" s="5"/>
      <c r="G121" s="5"/>
      <c r="H121" s="5"/>
      <c r="I121" s="5"/>
      <c r="J121" s="5"/>
      <c r="K121" s="5"/>
    </row>
    <row r="122" spans="2:11" x14ac:dyDescent="0.25">
      <c r="B122" s="5"/>
      <c r="D122" s="5"/>
      <c r="E122" s="5"/>
      <c r="F122" s="5"/>
      <c r="G122" s="5"/>
      <c r="H122" s="5"/>
      <c r="I122" s="5"/>
      <c r="J122" s="5"/>
      <c r="K122" s="5"/>
    </row>
    <row r="123" spans="2:11" x14ac:dyDescent="0.25">
      <c r="B123" s="5"/>
      <c r="D123" s="5"/>
      <c r="E123" s="5"/>
      <c r="F123" s="5"/>
      <c r="G123" s="5"/>
      <c r="H123" s="5"/>
      <c r="I123" s="5"/>
      <c r="J123" s="5"/>
      <c r="K123" s="5"/>
    </row>
    <row r="124" spans="2:11" x14ac:dyDescent="0.25">
      <c r="B124" s="5"/>
      <c r="D124" s="5"/>
      <c r="E124" s="5"/>
      <c r="F124" s="5"/>
      <c r="G124" s="5"/>
      <c r="H124" s="5"/>
      <c r="I124" s="5"/>
      <c r="J124" s="5"/>
      <c r="K124" s="5"/>
    </row>
    <row r="125" spans="2:11" x14ac:dyDescent="0.25">
      <c r="B125" s="5"/>
      <c r="D125" s="5"/>
      <c r="E125" s="5"/>
      <c r="F125" s="5"/>
      <c r="G125" s="5"/>
      <c r="H125" s="5"/>
      <c r="I125" s="5"/>
      <c r="J125" s="5"/>
      <c r="K125" s="5"/>
    </row>
    <row r="126" spans="2:11" x14ac:dyDescent="0.25">
      <c r="B126" s="5"/>
      <c r="D126" s="5"/>
      <c r="E126" s="5"/>
      <c r="F126" s="5"/>
      <c r="G126" s="5"/>
      <c r="H126" s="5"/>
      <c r="I126" s="5"/>
      <c r="J126" s="5"/>
      <c r="K126" s="5"/>
    </row>
    <row r="127" spans="2:11" x14ac:dyDescent="0.25">
      <c r="B127" s="5"/>
      <c r="D127" s="5"/>
      <c r="E127" s="5"/>
      <c r="F127" s="5"/>
      <c r="G127" s="5"/>
      <c r="H127" s="5"/>
      <c r="I127" s="5"/>
      <c r="J127" s="5"/>
      <c r="K127" s="5"/>
    </row>
    <row r="128" spans="2:11" x14ac:dyDescent="0.25">
      <c r="B128" s="5"/>
      <c r="D128" s="5"/>
      <c r="E128" s="5"/>
      <c r="F128" s="5"/>
      <c r="G128" s="5"/>
      <c r="H128" s="5"/>
      <c r="I128" s="5"/>
      <c r="J128" s="5"/>
      <c r="K128" s="5"/>
    </row>
    <row r="129" spans="2:11" x14ac:dyDescent="0.25">
      <c r="B129" s="5"/>
      <c r="D129" s="5"/>
      <c r="E129" s="5"/>
      <c r="F129" s="5"/>
      <c r="G129" s="5"/>
      <c r="H129" s="5"/>
      <c r="I129" s="5"/>
      <c r="J129" s="5"/>
      <c r="K129" s="5"/>
    </row>
    <row r="130" spans="2:11" x14ac:dyDescent="0.25">
      <c r="B130" s="5"/>
      <c r="D130" s="5"/>
      <c r="E130" s="5"/>
      <c r="F130" s="5"/>
      <c r="G130" s="5"/>
      <c r="H130" s="5"/>
      <c r="I130" s="5"/>
      <c r="J130" s="5"/>
      <c r="K130" s="5"/>
    </row>
    <row r="131" spans="2:11" x14ac:dyDescent="0.25">
      <c r="B131" s="5"/>
      <c r="D131" s="5"/>
      <c r="E131" s="5"/>
      <c r="F131" s="5"/>
      <c r="G131" s="5"/>
      <c r="H131" s="5"/>
      <c r="I131" s="5"/>
      <c r="J131" s="5"/>
      <c r="K131" s="5"/>
    </row>
    <row r="132" spans="2:11" x14ac:dyDescent="0.25">
      <c r="B132" s="5"/>
      <c r="D132" s="5"/>
      <c r="E132" s="5"/>
      <c r="F132" s="5"/>
      <c r="G132" s="5"/>
      <c r="H132" s="5"/>
      <c r="I132" s="5"/>
      <c r="J132" s="5"/>
      <c r="K132" s="5"/>
    </row>
    <row r="133" spans="2:11" x14ac:dyDescent="0.25">
      <c r="B133" s="5"/>
      <c r="D133" s="5"/>
      <c r="E133" s="5"/>
      <c r="F133" s="5"/>
      <c r="G133" s="5"/>
      <c r="H133" s="5"/>
      <c r="I133" s="5"/>
      <c r="J133" s="5"/>
      <c r="K133" s="5"/>
    </row>
    <row r="134" spans="2:11" x14ac:dyDescent="0.25">
      <c r="B134" s="5"/>
      <c r="D134" s="5"/>
      <c r="E134" s="5"/>
      <c r="F134" s="5"/>
      <c r="G134" s="5"/>
      <c r="H134" s="5"/>
      <c r="I134" s="5"/>
      <c r="J134" s="5"/>
      <c r="K134" s="5"/>
    </row>
    <row r="135" spans="2:11" x14ac:dyDescent="0.25">
      <c r="B135" s="5"/>
      <c r="D135" s="5"/>
      <c r="E135" s="5"/>
      <c r="F135" s="5"/>
      <c r="G135" s="5"/>
      <c r="H135" s="5"/>
      <c r="I135" s="5"/>
      <c r="J135" s="5"/>
      <c r="K135" s="5"/>
    </row>
    <row r="136" spans="2:11" x14ac:dyDescent="0.25">
      <c r="B136" s="5"/>
      <c r="D136" s="5"/>
      <c r="E136" s="5"/>
      <c r="F136" s="5"/>
      <c r="G136" s="5"/>
      <c r="H136" s="5"/>
      <c r="I136" s="5"/>
      <c r="J136" s="5"/>
      <c r="K136" s="5"/>
    </row>
    <row r="137" spans="2:11" x14ac:dyDescent="0.25">
      <c r="B137" s="5"/>
      <c r="D137" s="5"/>
      <c r="E137" s="5"/>
      <c r="F137" s="5"/>
      <c r="G137" s="5"/>
      <c r="H137" s="5"/>
      <c r="I137" s="5"/>
      <c r="J137" s="5"/>
      <c r="K137" s="5"/>
    </row>
    <row r="138" spans="2:11" x14ac:dyDescent="0.25">
      <c r="B138" s="5"/>
      <c r="D138" s="5"/>
      <c r="E138" s="5"/>
      <c r="F138" s="5"/>
      <c r="G138" s="5"/>
      <c r="H138" s="5"/>
      <c r="I138" s="5"/>
      <c r="J138" s="5"/>
      <c r="K138" s="5"/>
    </row>
    <row r="139" spans="2:11" x14ac:dyDescent="0.25">
      <c r="B139" s="5"/>
      <c r="D139" s="5"/>
      <c r="E139" s="5"/>
      <c r="F139" s="5"/>
      <c r="G139" s="5"/>
      <c r="H139" s="5"/>
      <c r="I139" s="5"/>
      <c r="J139" s="5"/>
      <c r="K139" s="5"/>
    </row>
    <row r="140" spans="2:11" x14ac:dyDescent="0.25">
      <c r="B140" s="5"/>
      <c r="D140" s="5"/>
      <c r="E140" s="5"/>
      <c r="F140" s="5"/>
      <c r="G140" s="5"/>
      <c r="H140" s="5"/>
      <c r="I140" s="5"/>
      <c r="J140" s="5"/>
      <c r="K140" s="5"/>
    </row>
    <row r="141" spans="2:11" x14ac:dyDescent="0.25">
      <c r="B141" s="5"/>
      <c r="D141" s="5"/>
      <c r="E141" s="5"/>
      <c r="F141" s="5"/>
      <c r="G141" s="5"/>
      <c r="H141" s="5"/>
      <c r="I141" s="5"/>
      <c r="J141" s="5"/>
      <c r="K141" s="5"/>
    </row>
    <row r="142" spans="2:11" x14ac:dyDescent="0.25">
      <c r="B142" s="5"/>
      <c r="D142" s="5"/>
      <c r="E142" s="5"/>
      <c r="F142" s="5"/>
      <c r="G142" s="5"/>
      <c r="H142" s="5"/>
      <c r="I142" s="5"/>
      <c r="J142" s="5"/>
      <c r="K142" s="5"/>
    </row>
    <row r="143" spans="2:11" x14ac:dyDescent="0.25">
      <c r="B143" s="5"/>
      <c r="D143" s="5"/>
      <c r="E143" s="5"/>
      <c r="F143" s="5"/>
      <c r="G143" s="5"/>
      <c r="H143" s="5"/>
      <c r="I143" s="5"/>
      <c r="J143" s="5"/>
      <c r="K143" s="5"/>
    </row>
    <row r="144" spans="2:11" x14ac:dyDescent="0.25">
      <c r="B144" s="5"/>
      <c r="D144" s="5"/>
      <c r="E144" s="5"/>
      <c r="F144" s="5"/>
      <c r="G144" s="5"/>
      <c r="H144" s="5"/>
      <c r="I144" s="5"/>
      <c r="J144" s="5"/>
      <c r="K144" s="5"/>
    </row>
    <row r="145" spans="2:11" x14ac:dyDescent="0.25">
      <c r="B145" s="5"/>
      <c r="D145" s="5"/>
      <c r="E145" s="5"/>
      <c r="F145" s="5"/>
      <c r="G145" s="5"/>
      <c r="H145" s="5"/>
      <c r="I145" s="5"/>
      <c r="J145" s="5"/>
      <c r="K145" s="5"/>
    </row>
    <row r="146" spans="2:11" x14ac:dyDescent="0.25">
      <c r="B146" s="5"/>
      <c r="D146" s="5"/>
      <c r="E146" s="5"/>
      <c r="F146" s="5"/>
      <c r="G146" s="5"/>
      <c r="H146" s="5"/>
      <c r="I146" s="5"/>
      <c r="J146" s="5"/>
      <c r="K146" s="5"/>
    </row>
    <row r="147" spans="2:11" x14ac:dyDescent="0.25">
      <c r="B147" s="5"/>
      <c r="D147" s="5"/>
      <c r="E147" s="5"/>
      <c r="F147" s="5"/>
      <c r="G147" s="5"/>
      <c r="H147" s="5"/>
      <c r="I147" s="5"/>
      <c r="J147" s="5"/>
      <c r="K147" s="5"/>
    </row>
    <row r="148" spans="2:11" x14ac:dyDescent="0.25">
      <c r="B148" s="5"/>
      <c r="D148" s="5"/>
      <c r="E148" s="5"/>
      <c r="F148" s="5"/>
      <c r="G148" s="5"/>
      <c r="H148" s="5"/>
      <c r="I148" s="5"/>
      <c r="J148" s="5"/>
      <c r="K148" s="5"/>
    </row>
    <row r="149" spans="2:11" x14ac:dyDescent="0.25">
      <c r="B149" s="5"/>
      <c r="D149" s="5"/>
      <c r="E149" s="5"/>
      <c r="F149" s="5"/>
      <c r="G149" s="5"/>
      <c r="H149" s="5"/>
      <c r="I149" s="5"/>
      <c r="J149" s="5"/>
      <c r="K149" s="5"/>
    </row>
    <row r="150" spans="2:11" x14ac:dyDescent="0.25">
      <c r="B150" s="5"/>
      <c r="D150" s="5"/>
      <c r="E150" s="5"/>
      <c r="F150" s="5"/>
      <c r="G150" s="5"/>
      <c r="H150" s="5"/>
      <c r="I150" s="5"/>
      <c r="J150" s="5"/>
      <c r="K150" s="5"/>
    </row>
    <row r="151" spans="2:11" x14ac:dyDescent="0.25">
      <c r="B151" s="5"/>
      <c r="D151" s="5"/>
      <c r="E151" s="5"/>
      <c r="F151" s="5"/>
      <c r="G151" s="5"/>
      <c r="H151" s="5"/>
      <c r="I151" s="5"/>
      <c r="J151" s="5"/>
      <c r="K151" s="5"/>
    </row>
    <row r="152" spans="2:11" x14ac:dyDescent="0.25">
      <c r="B152" s="5"/>
      <c r="D152" s="5"/>
      <c r="E152" s="5"/>
      <c r="F152" s="5"/>
      <c r="G152" s="5"/>
      <c r="H152" s="5"/>
      <c r="I152" s="5"/>
      <c r="J152" s="5"/>
      <c r="K152" s="5"/>
    </row>
    <row r="153" spans="2:11" x14ac:dyDescent="0.25">
      <c r="B153" s="5"/>
      <c r="D153" s="5"/>
      <c r="E153" s="5"/>
      <c r="F153" s="5"/>
      <c r="G153" s="5"/>
      <c r="H153" s="5"/>
      <c r="I153" s="5"/>
      <c r="J153" s="5"/>
      <c r="K153" s="5"/>
    </row>
    <row r="154" spans="2:11" x14ac:dyDescent="0.25">
      <c r="B154" s="5"/>
      <c r="D154" s="5"/>
      <c r="E154" s="5"/>
      <c r="F154" s="5"/>
      <c r="G154" s="5"/>
      <c r="H154" s="5"/>
      <c r="I154" s="5"/>
      <c r="J154" s="5"/>
      <c r="K154" s="5"/>
    </row>
    <row r="155" spans="2:11" x14ac:dyDescent="0.25">
      <c r="B155" s="5"/>
      <c r="D155" s="5"/>
      <c r="E155" s="5"/>
      <c r="F155" s="5"/>
      <c r="G155" s="5"/>
      <c r="H155" s="5"/>
      <c r="I155" s="5"/>
      <c r="J155" s="5"/>
      <c r="K155" s="5"/>
    </row>
    <row r="156" spans="2:11" x14ac:dyDescent="0.25">
      <c r="B156" s="5"/>
      <c r="D156" s="5"/>
      <c r="E156" s="5"/>
      <c r="F156" s="5"/>
      <c r="G156" s="5"/>
      <c r="H156" s="5"/>
      <c r="I156" s="5"/>
      <c r="J156" s="5"/>
      <c r="K156" s="5"/>
    </row>
    <row r="157" spans="2:11" x14ac:dyDescent="0.25">
      <c r="B157" s="5"/>
      <c r="D157" s="5"/>
      <c r="E157" s="5"/>
      <c r="F157" s="5"/>
      <c r="G157" s="5"/>
      <c r="H157" s="5"/>
      <c r="I157" s="5"/>
      <c r="J157" s="5"/>
      <c r="K157" s="5"/>
    </row>
    <row r="158" spans="2:11" x14ac:dyDescent="0.25">
      <c r="B158" s="5"/>
      <c r="D158" s="5"/>
      <c r="E158" s="5"/>
      <c r="F158" s="5"/>
      <c r="G158" s="5"/>
      <c r="H158" s="5"/>
      <c r="I158" s="5"/>
      <c r="J158" s="5"/>
      <c r="K158" s="5"/>
    </row>
    <row r="159" spans="2:11" x14ac:dyDescent="0.25">
      <c r="B159" s="5"/>
      <c r="D159" s="5"/>
      <c r="E159" s="5"/>
      <c r="F159" s="5"/>
      <c r="G159" s="5"/>
      <c r="H159" s="5"/>
      <c r="I159" s="5"/>
      <c r="J159" s="5"/>
      <c r="K159" s="5"/>
    </row>
    <row r="160" spans="2:11" x14ac:dyDescent="0.25">
      <c r="B160" s="5"/>
      <c r="D160" s="5"/>
      <c r="E160" s="5"/>
      <c r="F160" s="5"/>
      <c r="G160" s="5"/>
      <c r="H160" s="5"/>
      <c r="I160" s="5"/>
      <c r="J160" s="5"/>
      <c r="K160" s="5"/>
    </row>
    <row r="161" spans="2:11" x14ac:dyDescent="0.25">
      <c r="B161" s="5"/>
      <c r="D161" s="5"/>
      <c r="E161" s="5"/>
      <c r="F161" s="5"/>
      <c r="G161" s="5"/>
      <c r="H161" s="5"/>
      <c r="I161" s="5"/>
      <c r="J161" s="5"/>
      <c r="K161" s="5"/>
    </row>
    <row r="162" spans="2:11" x14ac:dyDescent="0.25">
      <c r="B162" s="5"/>
      <c r="D162" s="5"/>
      <c r="E162" s="5"/>
      <c r="F162" s="5"/>
      <c r="G162" s="5"/>
      <c r="H162" s="5"/>
      <c r="I162" s="5"/>
      <c r="J162" s="5"/>
      <c r="K162" s="5"/>
    </row>
    <row r="163" spans="2:11" x14ac:dyDescent="0.25">
      <c r="B163" s="5"/>
      <c r="D163" s="5"/>
      <c r="E163" s="5"/>
      <c r="F163" s="5"/>
      <c r="G163" s="5"/>
      <c r="H163" s="5"/>
      <c r="I163" s="5"/>
      <c r="J163" s="5"/>
      <c r="K163" s="5"/>
    </row>
    <row r="164" spans="2:11" x14ac:dyDescent="0.25">
      <c r="B164" s="5"/>
      <c r="D164" s="5"/>
      <c r="E164" s="5"/>
      <c r="F164" s="5"/>
      <c r="G164" s="5"/>
      <c r="H164" s="5"/>
      <c r="I164" s="5"/>
      <c r="J164" s="5"/>
      <c r="K164" s="5"/>
    </row>
    <row r="165" spans="2:11" x14ac:dyDescent="0.25">
      <c r="B165" s="5"/>
      <c r="D165" s="5"/>
      <c r="E165" s="5"/>
      <c r="F165" s="5"/>
      <c r="G165" s="5"/>
      <c r="H165" s="5"/>
      <c r="I165" s="5"/>
      <c r="J165" s="5"/>
      <c r="K165" s="5"/>
    </row>
    <row r="166" spans="2:11" x14ac:dyDescent="0.25">
      <c r="B166" s="5"/>
      <c r="D166" s="5"/>
      <c r="E166" s="5"/>
      <c r="F166" s="5"/>
      <c r="G166" s="5"/>
      <c r="H166" s="5"/>
      <c r="I166" s="5"/>
      <c r="J166" s="5"/>
      <c r="K166" s="5"/>
    </row>
    <row r="167" spans="2:11" x14ac:dyDescent="0.25">
      <c r="B167" s="5"/>
      <c r="D167" s="5"/>
      <c r="E167" s="5"/>
      <c r="F167" s="5"/>
      <c r="G167" s="5"/>
      <c r="H167" s="5"/>
      <c r="I167" s="5"/>
      <c r="J167" s="5"/>
      <c r="K167" s="5"/>
    </row>
    <row r="168" spans="2:11" x14ac:dyDescent="0.25">
      <c r="B168" s="5"/>
      <c r="D168" s="5"/>
      <c r="E168" s="5"/>
      <c r="F168" s="5"/>
      <c r="G168" s="5"/>
      <c r="H168" s="5"/>
      <c r="I168" s="5"/>
      <c r="J168" s="5"/>
      <c r="K168" s="5"/>
    </row>
    <row r="169" spans="2:11" x14ac:dyDescent="0.25">
      <c r="B169" s="5"/>
      <c r="D169" s="5"/>
      <c r="E169" s="5"/>
      <c r="F169" s="5"/>
      <c r="G169" s="5"/>
      <c r="H169" s="5"/>
      <c r="I169" s="5"/>
      <c r="J169" s="5"/>
      <c r="K169" s="5"/>
    </row>
    <row r="170" spans="2:11" x14ac:dyDescent="0.25">
      <c r="B170" s="5"/>
      <c r="D170" s="5"/>
      <c r="E170" s="5"/>
      <c r="F170" s="5"/>
      <c r="G170" s="5"/>
      <c r="H170" s="5"/>
      <c r="I170" s="5"/>
      <c r="J170" s="5"/>
      <c r="K170" s="5"/>
    </row>
    <row r="171" spans="2:11" x14ac:dyDescent="0.25">
      <c r="B171" s="5"/>
      <c r="D171" s="5"/>
      <c r="E171" s="5"/>
      <c r="F171" s="5"/>
      <c r="G171" s="5"/>
      <c r="H171" s="5"/>
      <c r="I171" s="5"/>
      <c r="J171" s="5"/>
      <c r="K171" s="5"/>
    </row>
    <row r="172" spans="2:11" x14ac:dyDescent="0.25">
      <c r="B172" s="5"/>
      <c r="D172" s="5"/>
      <c r="E172" s="5"/>
      <c r="F172" s="5"/>
      <c r="G172" s="5"/>
      <c r="H172" s="5"/>
      <c r="I172" s="5"/>
      <c r="J172" s="5"/>
      <c r="K172" s="5"/>
    </row>
    <row r="173" spans="2:11" x14ac:dyDescent="0.25">
      <c r="B173" s="5"/>
      <c r="D173" s="5"/>
      <c r="E173" s="5"/>
      <c r="F173" s="5"/>
      <c r="G173" s="5"/>
      <c r="H173" s="5"/>
      <c r="I173" s="5"/>
      <c r="J173" s="5"/>
      <c r="K173" s="5"/>
    </row>
    <row r="174" spans="2:11" x14ac:dyDescent="0.25">
      <c r="B174" s="5"/>
      <c r="D174" s="5"/>
      <c r="E174" s="5"/>
      <c r="F174" s="5"/>
      <c r="G174" s="5"/>
      <c r="H174" s="5"/>
      <c r="I174" s="5"/>
      <c r="J174" s="5"/>
      <c r="K174" s="5"/>
    </row>
    <row r="175" spans="2:11" x14ac:dyDescent="0.25">
      <c r="B175" s="5"/>
      <c r="D175" s="5"/>
      <c r="E175" s="5"/>
      <c r="F175" s="5"/>
      <c r="G175" s="5"/>
      <c r="H175" s="5"/>
      <c r="I175" s="5"/>
      <c r="J175" s="5"/>
      <c r="K175" s="5"/>
    </row>
    <row r="176" spans="2:11" x14ac:dyDescent="0.25">
      <c r="B176" s="5"/>
      <c r="D176" s="5"/>
      <c r="E176" s="5"/>
      <c r="F176" s="5"/>
      <c r="G176" s="5"/>
      <c r="H176" s="5"/>
      <c r="I176" s="5"/>
      <c r="J176" s="5"/>
      <c r="K176" s="5"/>
    </row>
    <row r="177" spans="2:11" x14ac:dyDescent="0.25">
      <c r="B177" s="5"/>
      <c r="D177" s="5"/>
      <c r="E177" s="5"/>
      <c r="F177" s="5"/>
      <c r="G177" s="5"/>
      <c r="H177" s="5"/>
      <c r="I177" s="5"/>
      <c r="J177" s="5"/>
      <c r="K177" s="5"/>
    </row>
    <row r="178" spans="2:11" x14ac:dyDescent="0.25">
      <c r="B178" s="5"/>
      <c r="D178" s="5"/>
      <c r="E178" s="5"/>
      <c r="F178" s="5"/>
      <c r="G178" s="5"/>
      <c r="H178" s="5"/>
      <c r="I178" s="5"/>
      <c r="J178" s="5"/>
      <c r="K178" s="5"/>
    </row>
    <row r="179" spans="2:11" x14ac:dyDescent="0.25">
      <c r="B179" s="5"/>
      <c r="D179" s="5"/>
      <c r="E179" s="5"/>
      <c r="F179" s="5"/>
      <c r="G179" s="5"/>
      <c r="H179" s="5"/>
      <c r="I179" s="5"/>
      <c r="J179" s="5"/>
      <c r="K179" s="5"/>
    </row>
  </sheetData>
  <mergeCells count="23">
    <mergeCell ref="B54:B59"/>
    <mergeCell ref="B61:B65"/>
    <mergeCell ref="B66:B73"/>
    <mergeCell ref="B15:B21"/>
    <mergeCell ref="D15:I15"/>
    <mergeCell ref="D16:I16"/>
    <mergeCell ref="D22:I22"/>
    <mergeCell ref="D23:I23"/>
    <mergeCell ref="B25:E25"/>
    <mergeCell ref="B26:B32"/>
    <mergeCell ref="B34:E34"/>
    <mergeCell ref="B35:B41"/>
    <mergeCell ref="B48:E49"/>
    <mergeCell ref="B10:D10"/>
    <mergeCell ref="F10:S10"/>
    <mergeCell ref="F11:S11"/>
    <mergeCell ref="E12:R12"/>
    <mergeCell ref="E13:R13"/>
    <mergeCell ref="A1:P1"/>
    <mergeCell ref="A2:P2"/>
    <mergeCell ref="A3:P3"/>
    <mergeCell ref="A4:D4"/>
    <mergeCell ref="A5:P5"/>
  </mergeCells>
  <conditionalFormatting sqref="E12:R12">
    <cfRule type="expression" dxfId="28" priority="1">
      <formula>E11="SI SE REPORTA"</formula>
    </cfRule>
  </conditionalFormatting>
  <conditionalFormatting sqref="F10">
    <cfRule type="notContainsBlanks" dxfId="27" priority="4">
      <formula>LEN(TRIM(F10))&gt;0</formula>
    </cfRule>
  </conditionalFormatting>
  <conditionalFormatting sqref="F11:S11">
    <cfRule type="expression" dxfId="26" priority="2">
      <formula>E11="NO SE REPORTA"</formula>
    </cfRule>
    <cfRule type="expression" dxfId="25" priority="3">
      <formula>E10="NO APLICA"</formula>
    </cfRule>
  </conditionalFormatting>
  <dataValidations count="4">
    <dataValidation type="whole" operator="greaterThanOrEqual" allowBlank="1" showErrorMessage="1" errorTitle="ERROR" error="Escriba un número igual o mayor que 0" sqref="E18:E20" xr:uid="{2A7D7186-695B-49EC-99CF-8F9B0F7B2ADF}">
      <formula1>0</formula1>
    </dataValidation>
    <dataValidation type="list" allowBlank="1" showInputMessage="1" showErrorMessage="1" sqref="E10" xr:uid="{00000000-0002-0000-1F00-000002000000}">
      <formula1>SI</formula1>
    </dataValidation>
    <dataValidation type="list" allowBlank="1" showInputMessage="1" showErrorMessage="1" sqref="E11" xr:uid="{00000000-0002-0000-1F00-000001000000}">
      <formula1>REPORTE</formula1>
    </dataValidation>
    <dataValidation type="whole" operator="greaterThanOrEqual" allowBlank="1" showErrorMessage="1" errorTitle="ERROR" error="Escriba un número igual o mayor que 0" promptTitle="ERROR" prompt="Escriba un número igual o mayor que 0" sqref="F18:H20" xr:uid="{00000000-0002-0000-1F00-000000000000}">
      <formula1>0</formula1>
    </dataValidation>
  </dataValidations>
  <hyperlinks>
    <hyperlink ref="B9" location="'ANEXO 3'!A1" display="VOLVER AL INDICE" xr:uid="{FBC04B95-DD66-4374-A599-AA429A079CF2}"/>
    <hyperlink ref="E30" r:id="rId1" xr:uid="{F1313E67-EA52-416E-9053-729784135786}"/>
  </hyperlinks>
  <pageMargins left="0.25" right="0.25" top="0.75" bottom="0.75" header="0.3" footer="0.3"/>
  <pageSetup paperSize="178" orientation="landscape" horizontalDpi="1200" verticalDpi="1200"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9D36-D6E5-4D64-8FCC-CFB27BC187DC}">
  <dimension ref="A1:U91"/>
  <sheetViews>
    <sheetView showGridLines="0" topLeftCell="A19" zoomScale="98" zoomScaleNormal="98" workbookViewId="0">
      <selection activeCell="D18" sqref="D18:J18"/>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33</v>
      </c>
      <c r="B5" s="998"/>
      <c r="C5" s="998"/>
      <c r="D5" s="998"/>
      <c r="E5" s="998"/>
      <c r="F5" s="998"/>
      <c r="G5" s="998"/>
      <c r="H5" s="998"/>
      <c r="I5" s="998"/>
      <c r="J5" s="998"/>
      <c r="K5" s="998"/>
      <c r="L5" s="998"/>
      <c r="M5" s="998"/>
      <c r="N5" s="998"/>
      <c r="O5" s="998"/>
      <c r="P5" s="999"/>
    </row>
    <row r="6" spans="1:21" ht="15.75" thickBot="1" x14ac:dyDescent="0.3">
      <c r="B6" s="1" t="s">
        <v>626</v>
      </c>
      <c r="C6" s="76"/>
      <c r="D6" s="5"/>
      <c r="E6" s="74"/>
      <c r="F6" s="5" t="s">
        <v>627</v>
      </c>
      <c r="G6" s="5"/>
      <c r="H6" s="5"/>
      <c r="I6" s="5"/>
      <c r="J6" s="5"/>
      <c r="K6" s="5"/>
    </row>
    <row r="7" spans="1:21" ht="15.75" thickBot="1" x14ac:dyDescent="0.3">
      <c r="B7" s="171" t="s">
        <v>629</v>
      </c>
      <c r="C7" s="211">
        <v>2024</v>
      </c>
      <c r="D7" s="213">
        <f>IF(E9="NO APLICA","NO APLICA",IF(E10="NO SE REPORTA","SIN INFORMACION",+G17))</f>
        <v>0</v>
      </c>
      <c r="E7" s="222"/>
      <c r="F7" s="5" t="s">
        <v>628</v>
      </c>
      <c r="G7" s="5"/>
      <c r="H7" s="5"/>
      <c r="I7" s="5"/>
      <c r="J7" s="5"/>
      <c r="K7" s="5"/>
    </row>
    <row r="8" spans="1:21" x14ac:dyDescent="0.25">
      <c r="B8" s="358" t="s">
        <v>631</v>
      </c>
      <c r="E8" s="212"/>
      <c r="F8" s="5" t="s">
        <v>630</v>
      </c>
      <c r="G8" s="5"/>
      <c r="H8" s="5"/>
      <c r="I8" s="5"/>
      <c r="J8" s="5"/>
      <c r="K8" s="5"/>
    </row>
    <row r="9" spans="1:21" x14ac:dyDescent="0.25">
      <c r="B9" s="1008" t="s">
        <v>632</v>
      </c>
      <c r="C9" s="1008"/>
      <c r="D9" s="1008"/>
      <c r="E9" s="361" t="s">
        <v>633</v>
      </c>
      <c r="F9" s="995" t="str">
        <f>IF(E9="NO APLICA","      ESCRIBA EL NÚMERO DEL ACUERDO DEL CONSEJO DIRECTIVO EN EL CUAL DECIDE LA NO PROCEDENCIA DE LA APLICACIÓN DEL INDICADOR",IF(E10="NO SE REPORTA","      ESCRIBA EL NÚMERO DEL ACUERDO DEL CONSEJO DIRECTIVO EN LA CUAL SE APRUEBA LA AGENDA DE IMPLEMENTACION DEL INDICADOR",""))</f>
        <v/>
      </c>
      <c r="G9" s="996"/>
      <c r="H9" s="996"/>
      <c r="I9" s="996"/>
      <c r="J9" s="996"/>
      <c r="K9" s="996"/>
      <c r="L9" s="996"/>
      <c r="M9" s="996"/>
      <c r="N9" s="996"/>
      <c r="O9" s="996"/>
      <c r="P9" s="996"/>
      <c r="Q9" s="996"/>
      <c r="R9" s="996"/>
      <c r="S9" s="996"/>
      <c r="T9" s="5"/>
      <c r="U9" s="5"/>
    </row>
    <row r="10" spans="1:21" ht="14.45" customHeight="1" x14ac:dyDescent="0.25">
      <c r="B10" s="360"/>
      <c r="C10" s="88"/>
      <c r="D10" s="171" t="str">
        <f>IF(E9="SI APLICA","¿El indicador no se reporta por limitaciones de información disponible? ","")</f>
        <v xml:space="preserve">¿El indicador no se reporta por limitaciones de información disponible? </v>
      </c>
      <c r="E10" s="362" t="s">
        <v>634</v>
      </c>
      <c r="F10" s="1009"/>
      <c r="G10" s="1010"/>
      <c r="H10" s="1010"/>
      <c r="I10" s="1010"/>
      <c r="J10" s="1010"/>
      <c r="K10" s="1010"/>
      <c r="L10" s="1010"/>
      <c r="M10" s="1010"/>
      <c r="N10" s="1010"/>
      <c r="O10" s="1010"/>
      <c r="P10" s="1010"/>
      <c r="Q10" s="1010"/>
      <c r="R10" s="1010"/>
      <c r="S10" s="1010"/>
    </row>
    <row r="11" spans="1:21" ht="23.45" customHeight="1" x14ac:dyDescent="0.25">
      <c r="B11" s="358"/>
      <c r="C11" s="88"/>
      <c r="D11" s="171" t="str">
        <f>IF(E10="SI SE REPORTA","¿Qué programas o proyectos del Plan de Acción están asociados al indicador? ","")</f>
        <v xml:space="preserve">¿Qué programas o proyectos del Plan de Acción están asociados al indicador? </v>
      </c>
      <c r="E11" s="1011" t="s">
        <v>2384</v>
      </c>
      <c r="F11" s="1011"/>
      <c r="G11" s="1011"/>
      <c r="H11" s="1011"/>
      <c r="I11" s="1011"/>
      <c r="J11" s="1011"/>
      <c r="K11" s="1011"/>
      <c r="L11" s="1011"/>
      <c r="M11" s="1011"/>
      <c r="N11" s="1011"/>
      <c r="O11" s="1011"/>
      <c r="P11" s="1011"/>
      <c r="Q11" s="1011"/>
      <c r="R11" s="1011"/>
    </row>
    <row r="12" spans="1:21" ht="21.95" customHeight="1" thickBot="1" x14ac:dyDescent="0.3">
      <c r="B12" s="358"/>
      <c r="C12" s="88"/>
      <c r="D12" s="171" t="s">
        <v>635</v>
      </c>
      <c r="E12" s="1012"/>
      <c r="F12" s="1013"/>
      <c r="G12" s="1013"/>
      <c r="H12" s="1013"/>
      <c r="I12" s="1013"/>
      <c r="J12" s="1013"/>
      <c r="K12" s="1013"/>
      <c r="L12" s="1013"/>
      <c r="M12" s="1013"/>
      <c r="N12" s="1013"/>
      <c r="O12" s="1013"/>
      <c r="P12" s="1013"/>
      <c r="Q12" s="1013"/>
      <c r="R12" s="1014"/>
    </row>
    <row r="13" spans="1:21" ht="15.75" customHeight="1" thickBot="1" x14ac:dyDescent="0.3">
      <c r="B13" s="1068" t="s">
        <v>636</v>
      </c>
      <c r="C13" s="102"/>
      <c r="D13" s="983" t="s">
        <v>637</v>
      </c>
      <c r="E13" s="984"/>
      <c r="F13" s="984"/>
      <c r="G13" s="984"/>
      <c r="H13" s="984"/>
      <c r="I13" s="957"/>
      <c r="J13" s="958"/>
      <c r="K13" s="5"/>
    </row>
    <row r="14" spans="1:21" ht="15.75" thickBot="1" x14ac:dyDescent="0.3">
      <c r="B14" s="1095"/>
      <c r="C14" s="98" t="s">
        <v>585</v>
      </c>
      <c r="D14" s="43" t="s">
        <v>763</v>
      </c>
      <c r="E14" s="38" t="s">
        <v>587</v>
      </c>
      <c r="F14" s="38" t="s">
        <v>588</v>
      </c>
      <c r="G14" s="38" t="s">
        <v>589</v>
      </c>
      <c r="H14" s="127" t="s">
        <v>590</v>
      </c>
      <c r="I14" s="291"/>
      <c r="J14" s="242"/>
      <c r="K14" s="5"/>
    </row>
    <row r="15" spans="1:21" ht="84.75" thickBot="1" x14ac:dyDescent="0.3">
      <c r="B15" s="1095"/>
      <c r="C15" s="2" t="s">
        <v>765</v>
      </c>
      <c r="D15" s="40" t="s">
        <v>1649</v>
      </c>
      <c r="E15" s="6">
        <v>25</v>
      </c>
      <c r="F15" s="6">
        <v>25</v>
      </c>
      <c r="G15" s="6">
        <v>25</v>
      </c>
      <c r="H15" s="328">
        <v>25</v>
      </c>
      <c r="I15" s="330"/>
      <c r="J15" s="21"/>
      <c r="K15" s="5"/>
    </row>
    <row r="16" spans="1:21" ht="84.75" thickBot="1" x14ac:dyDescent="0.3">
      <c r="B16" s="1095"/>
      <c r="C16" s="2" t="s">
        <v>767</v>
      </c>
      <c r="D16" s="40" t="s">
        <v>1650</v>
      </c>
      <c r="E16" s="6"/>
      <c r="F16" s="6"/>
      <c r="G16" s="6"/>
      <c r="H16" s="328"/>
      <c r="I16" s="330"/>
      <c r="J16" s="21"/>
      <c r="K16" s="5"/>
    </row>
    <row r="17" spans="2:11" ht="72.599999999999994" customHeight="1" thickBot="1" x14ac:dyDescent="0.3">
      <c r="B17" s="1095"/>
      <c r="C17" s="2" t="s">
        <v>769</v>
      </c>
      <c r="D17" s="40" t="s">
        <v>1651</v>
      </c>
      <c r="E17" s="147">
        <f>+E16/E15</f>
        <v>0</v>
      </c>
      <c r="F17" s="147">
        <f>+F16/F15</f>
        <v>0</v>
      </c>
      <c r="G17" s="147">
        <f>+G16/G15</f>
        <v>0</v>
      </c>
      <c r="H17" s="329">
        <f>+H16/H15</f>
        <v>0</v>
      </c>
      <c r="I17" s="331"/>
      <c r="J17" s="23"/>
      <c r="K17" s="5"/>
    </row>
    <row r="18" spans="2:11" x14ac:dyDescent="0.25">
      <c r="B18" s="1095"/>
      <c r="C18" s="103"/>
      <c r="D18" s="956"/>
      <c r="E18" s="957"/>
      <c r="F18" s="957"/>
      <c r="G18" s="957"/>
      <c r="H18" s="957"/>
      <c r="I18" s="963"/>
      <c r="J18" s="964"/>
      <c r="K18" s="5"/>
    </row>
    <row r="19" spans="2:11" ht="24" customHeight="1" thickBot="1" x14ac:dyDescent="0.3">
      <c r="B19" s="1095"/>
      <c r="C19" s="103"/>
      <c r="D19" s="962" t="s">
        <v>1652</v>
      </c>
      <c r="E19" s="963"/>
      <c r="F19" s="963"/>
      <c r="G19" s="963"/>
      <c r="H19" s="963"/>
      <c r="I19" s="963"/>
      <c r="J19" s="964"/>
      <c r="K19" s="5"/>
    </row>
    <row r="20" spans="2:11" ht="24.75" thickBot="1" x14ac:dyDescent="0.3">
      <c r="B20" s="1095"/>
      <c r="C20" s="98" t="s">
        <v>585</v>
      </c>
      <c r="D20" s="38" t="s">
        <v>911</v>
      </c>
      <c r="E20" s="43" t="s">
        <v>1653</v>
      </c>
      <c r="F20" s="43" t="s">
        <v>1654</v>
      </c>
      <c r="G20" s="43" t="s">
        <v>593</v>
      </c>
      <c r="H20" s="5"/>
      <c r="J20" s="21"/>
      <c r="K20" s="5"/>
    </row>
    <row r="21" spans="2:11" ht="15.75" thickBot="1" x14ac:dyDescent="0.3">
      <c r="B21" s="1095"/>
      <c r="C21" s="2">
        <v>1</v>
      </c>
      <c r="D21" s="30"/>
      <c r="E21" s="6"/>
      <c r="F21" s="29"/>
      <c r="G21" s="29"/>
      <c r="H21" s="5"/>
      <c r="J21" s="21"/>
      <c r="K21" s="5"/>
    </row>
    <row r="22" spans="2:11" ht="15.75" thickBot="1" x14ac:dyDescent="0.3">
      <c r="B22" s="1095"/>
      <c r="C22" s="2">
        <v>2</v>
      </c>
      <c r="D22" s="30"/>
      <c r="E22" s="6"/>
      <c r="F22" s="29"/>
      <c r="G22" s="29"/>
      <c r="H22" s="5"/>
      <c r="J22" s="21"/>
      <c r="K22" s="5"/>
    </row>
    <row r="23" spans="2:11" ht="15.75" thickBot="1" x14ac:dyDescent="0.3">
      <c r="B23" s="1095"/>
      <c r="C23" s="2">
        <v>3</v>
      </c>
      <c r="D23" s="30"/>
      <c r="E23" s="6"/>
      <c r="F23" s="29"/>
      <c r="G23" s="29"/>
      <c r="H23" s="5"/>
      <c r="J23" s="21"/>
      <c r="K23" s="5"/>
    </row>
    <row r="24" spans="2:11" ht="15.75" thickBot="1" x14ac:dyDescent="0.3">
      <c r="B24" s="1095"/>
      <c r="C24" s="2">
        <v>4</v>
      </c>
      <c r="D24" s="30"/>
      <c r="E24" s="6"/>
      <c r="F24" s="29"/>
      <c r="G24" s="29"/>
      <c r="H24" s="5"/>
      <c r="J24" s="21"/>
      <c r="K24" s="5"/>
    </row>
    <row r="25" spans="2:11" ht="15.75" thickBot="1" x14ac:dyDescent="0.3">
      <c r="B25" s="1095"/>
      <c r="C25" s="2">
        <v>5</v>
      </c>
      <c r="D25" s="30"/>
      <c r="E25" s="6"/>
      <c r="F25" s="29"/>
      <c r="G25" s="29"/>
      <c r="H25" s="5"/>
      <c r="J25" s="21"/>
      <c r="K25" s="5"/>
    </row>
    <row r="26" spans="2:11" ht="15.75" thickBot="1" x14ac:dyDescent="0.3">
      <c r="B26" s="1095"/>
      <c r="C26" s="2">
        <v>6</v>
      </c>
      <c r="D26" s="30"/>
      <c r="E26" s="6"/>
      <c r="F26" s="29"/>
      <c r="G26" s="29"/>
      <c r="H26" s="5"/>
      <c r="J26" s="21"/>
      <c r="K26" s="5"/>
    </row>
    <row r="27" spans="2:11" ht="15.75" thickBot="1" x14ac:dyDescent="0.3">
      <c r="B27" s="1095"/>
      <c r="C27" s="2">
        <v>7</v>
      </c>
      <c r="D27" s="30"/>
      <c r="E27" s="6"/>
      <c r="F27" s="29"/>
      <c r="G27" s="29"/>
      <c r="H27" s="5"/>
      <c r="J27" s="21"/>
      <c r="K27" s="5"/>
    </row>
    <row r="28" spans="2:11" ht="15.75" thickBot="1" x14ac:dyDescent="0.3">
      <c r="B28" s="1095"/>
      <c r="C28" s="2">
        <v>8</v>
      </c>
      <c r="D28" s="30"/>
      <c r="E28" s="6"/>
      <c r="F28" s="29"/>
      <c r="G28" s="29"/>
      <c r="H28" s="5"/>
      <c r="J28" s="21"/>
      <c r="K28" s="5"/>
    </row>
    <row r="29" spans="2:11" ht="15.75" thickBot="1" x14ac:dyDescent="0.3">
      <c r="B29" s="1095"/>
      <c r="C29" s="2">
        <v>9</v>
      </c>
      <c r="D29" s="30"/>
      <c r="E29" s="6"/>
      <c r="F29" s="29"/>
      <c r="G29" s="29"/>
      <c r="H29" s="5"/>
      <c r="J29" s="21"/>
      <c r="K29" s="5"/>
    </row>
    <row r="30" spans="2:11" ht="15.75" thickBot="1" x14ac:dyDescent="0.3">
      <c r="B30" s="1069"/>
      <c r="C30" s="2">
        <v>10</v>
      </c>
      <c r="D30" s="30"/>
      <c r="E30" s="6"/>
      <c r="F30" s="29"/>
      <c r="G30" s="29"/>
      <c r="H30" s="22"/>
      <c r="J30" s="23"/>
      <c r="K30" s="5"/>
    </row>
    <row r="31" spans="2:11" ht="24" customHeight="1" thickBot="1" x14ac:dyDescent="0.3">
      <c r="B31" s="60" t="s">
        <v>671</v>
      </c>
      <c r="C31" s="104"/>
      <c r="D31" s="983" t="s">
        <v>1655</v>
      </c>
      <c r="E31" s="984"/>
      <c r="F31" s="984"/>
      <c r="G31" s="984"/>
      <c r="H31" s="984"/>
      <c r="I31" s="984"/>
      <c r="J31" s="985"/>
      <c r="K31" s="5"/>
    </row>
    <row r="32" spans="2:11" ht="18.75" thickBot="1" x14ac:dyDescent="0.3">
      <c r="B32" s="60" t="s">
        <v>673</v>
      </c>
      <c r="C32" s="104"/>
      <c r="D32" s="983" t="s">
        <v>876</v>
      </c>
      <c r="E32" s="984"/>
      <c r="F32" s="984"/>
      <c r="G32" s="984"/>
      <c r="H32" s="984"/>
      <c r="I32" s="984"/>
      <c r="J32" s="985"/>
      <c r="K32" s="5"/>
    </row>
    <row r="33" spans="2:11" ht="15.75" thickBot="1" x14ac:dyDescent="0.3">
      <c r="B33" s="1"/>
      <c r="C33" s="76"/>
      <c r="D33" s="5"/>
      <c r="E33" s="5"/>
      <c r="F33" s="5"/>
      <c r="G33" s="5"/>
      <c r="H33" s="5"/>
      <c r="I33" s="5"/>
      <c r="J33" s="5"/>
      <c r="K33" s="5"/>
    </row>
    <row r="34" spans="2:11" ht="24" customHeight="1" thickBot="1" x14ac:dyDescent="0.3">
      <c r="B34" s="971" t="s">
        <v>675</v>
      </c>
      <c r="C34" s="972"/>
      <c r="D34" s="972"/>
      <c r="E34" s="973"/>
      <c r="F34" s="5"/>
      <c r="G34" s="5"/>
      <c r="H34" s="5"/>
      <c r="I34" s="5"/>
      <c r="J34" s="5"/>
      <c r="K34" s="5"/>
    </row>
    <row r="35" spans="2:11" ht="48.75" thickBot="1" x14ac:dyDescent="0.3">
      <c r="B35" s="974">
        <v>1</v>
      </c>
      <c r="C35" s="94"/>
      <c r="D35" s="48" t="s">
        <v>676</v>
      </c>
      <c r="E35" s="337" t="s">
        <v>2301</v>
      </c>
      <c r="F35" s="5"/>
      <c r="G35" s="5"/>
      <c r="H35" s="5"/>
      <c r="I35" s="5"/>
      <c r="J35" s="5"/>
      <c r="K35" s="5"/>
    </row>
    <row r="36" spans="2:11" ht="48.75" thickBot="1" x14ac:dyDescent="0.3">
      <c r="B36" s="975"/>
      <c r="C36" s="94"/>
      <c r="D36" s="40" t="s">
        <v>525</v>
      </c>
      <c r="E36" s="337" t="s">
        <v>2311</v>
      </c>
      <c r="F36" s="5"/>
      <c r="G36" s="5"/>
      <c r="H36" s="5"/>
      <c r="I36" s="5"/>
      <c r="J36" s="5"/>
      <c r="K36" s="5"/>
    </row>
    <row r="37" spans="2:11" ht="36.75" thickBot="1" x14ac:dyDescent="0.3">
      <c r="B37" s="975"/>
      <c r="C37" s="94"/>
      <c r="D37" s="40" t="s">
        <v>677</v>
      </c>
      <c r="E37" s="337" t="s">
        <v>2303</v>
      </c>
      <c r="F37" s="5"/>
      <c r="G37" s="5"/>
      <c r="H37" s="5"/>
      <c r="I37" s="5"/>
      <c r="J37" s="5"/>
      <c r="K37" s="5"/>
    </row>
    <row r="38" spans="2:11" ht="15.75" thickBot="1" x14ac:dyDescent="0.3">
      <c r="B38" s="975"/>
      <c r="C38" s="94"/>
      <c r="D38" s="40" t="s">
        <v>527</v>
      </c>
      <c r="E38" s="337" t="s">
        <v>2304</v>
      </c>
      <c r="F38" s="5"/>
      <c r="G38" s="5"/>
      <c r="H38" s="5"/>
      <c r="I38" s="5"/>
      <c r="J38" s="5"/>
      <c r="K38" s="5"/>
    </row>
    <row r="39" spans="2:11" ht="60.75" thickBot="1" x14ac:dyDescent="0.3">
      <c r="B39" s="975"/>
      <c r="C39" s="94"/>
      <c r="D39" s="40" t="s">
        <v>529</v>
      </c>
      <c r="E39" s="766" t="s">
        <v>2309</v>
      </c>
      <c r="F39" s="5"/>
      <c r="G39" s="5"/>
      <c r="H39" s="5"/>
      <c r="I39" s="5"/>
      <c r="J39" s="5"/>
      <c r="K39" s="5"/>
    </row>
    <row r="40" spans="2:11" ht="15.75" thickBot="1" x14ac:dyDescent="0.3">
      <c r="B40" s="975"/>
      <c r="C40" s="94"/>
      <c r="D40" s="40" t="s">
        <v>531</v>
      </c>
      <c r="E40" s="337">
        <v>5748960</v>
      </c>
      <c r="F40" s="5"/>
      <c r="G40" s="5"/>
      <c r="H40" s="5"/>
      <c r="I40" s="5"/>
      <c r="J40" s="5"/>
      <c r="K40" s="5"/>
    </row>
    <row r="41" spans="2:11" ht="60.75" thickBot="1" x14ac:dyDescent="0.3">
      <c r="B41" s="976"/>
      <c r="C41" s="2"/>
      <c r="D41" s="40" t="s">
        <v>678</v>
      </c>
      <c r="E41" s="337" t="s">
        <v>2312</v>
      </c>
      <c r="F41" s="5"/>
      <c r="G41" s="5"/>
      <c r="H41" s="5"/>
      <c r="I41" s="5"/>
      <c r="J41" s="5"/>
      <c r="K41" s="5"/>
    </row>
    <row r="42" spans="2:11" ht="15.75" thickBot="1" x14ac:dyDescent="0.3">
      <c r="B42" s="1"/>
      <c r="C42" s="76"/>
      <c r="D42" s="5"/>
      <c r="E42" s="5"/>
      <c r="F42" s="5"/>
      <c r="G42" s="5"/>
      <c r="H42" s="5"/>
      <c r="I42" s="5"/>
      <c r="J42" s="5"/>
      <c r="K42" s="5"/>
    </row>
    <row r="43" spans="2:11" ht="15.75" thickBot="1" x14ac:dyDescent="0.3">
      <c r="B43" s="971" t="s">
        <v>679</v>
      </c>
      <c r="C43" s="972"/>
      <c r="D43" s="972"/>
      <c r="E43" s="973"/>
      <c r="F43" s="5"/>
      <c r="G43" s="5"/>
      <c r="H43" s="5"/>
      <c r="I43" s="5"/>
      <c r="J43" s="5"/>
      <c r="K43" s="5"/>
    </row>
    <row r="44" spans="2:11" ht="15.75" thickBot="1" x14ac:dyDescent="0.3">
      <c r="B44" s="974">
        <v>1</v>
      </c>
      <c r="C44" s="94"/>
      <c r="D44" s="48" t="s">
        <v>676</v>
      </c>
      <c r="E44" s="219" t="s">
        <v>680</v>
      </c>
      <c r="F44" s="5"/>
      <c r="G44" s="5"/>
      <c r="H44" s="5"/>
      <c r="I44" s="5"/>
      <c r="J44" s="5"/>
      <c r="K44" s="5"/>
    </row>
    <row r="45" spans="2:11" ht="15.75" thickBot="1" x14ac:dyDescent="0.3">
      <c r="B45" s="975"/>
      <c r="C45" s="94"/>
      <c r="D45" s="40" t="s">
        <v>525</v>
      </c>
      <c r="E45" s="219" t="s">
        <v>681</v>
      </c>
      <c r="F45" s="5"/>
      <c r="G45" s="5"/>
      <c r="H45" s="5"/>
      <c r="I45" s="5"/>
      <c r="J45" s="5"/>
      <c r="K45" s="5"/>
    </row>
    <row r="46" spans="2:11" ht="15.75" thickBot="1" x14ac:dyDescent="0.3">
      <c r="B46" s="975"/>
      <c r="C46" s="94"/>
      <c r="D46" s="40" t="s">
        <v>677</v>
      </c>
      <c r="E46" s="332"/>
      <c r="F46" s="5"/>
      <c r="G46" s="5"/>
      <c r="H46" s="5"/>
      <c r="I46" s="5"/>
      <c r="J46" s="5"/>
      <c r="K46" s="5"/>
    </row>
    <row r="47" spans="2:11" ht="15.75" thickBot="1" x14ac:dyDescent="0.3">
      <c r="B47" s="975"/>
      <c r="C47" s="94"/>
      <c r="D47" s="40" t="s">
        <v>527</v>
      </c>
      <c r="E47" s="332"/>
      <c r="F47" s="5"/>
      <c r="G47" s="5"/>
      <c r="H47" s="5"/>
      <c r="I47" s="5"/>
      <c r="J47" s="5"/>
      <c r="K47" s="5"/>
    </row>
    <row r="48" spans="2:11" ht="15.75" thickBot="1" x14ac:dyDescent="0.3">
      <c r="B48" s="975"/>
      <c r="C48" s="94"/>
      <c r="D48" s="40" t="s">
        <v>529</v>
      </c>
      <c r="E48" s="332"/>
      <c r="F48" s="5"/>
      <c r="G48" s="5"/>
      <c r="H48" s="5"/>
      <c r="I48" s="5"/>
      <c r="J48" s="5"/>
      <c r="K48" s="5"/>
    </row>
    <row r="49" spans="2:11" ht="15.75" thickBot="1" x14ac:dyDescent="0.3">
      <c r="B49" s="975"/>
      <c r="C49" s="94"/>
      <c r="D49" s="40" t="s">
        <v>531</v>
      </c>
      <c r="E49" s="332"/>
      <c r="F49" s="5"/>
      <c r="G49" s="5"/>
      <c r="H49" s="5"/>
      <c r="I49" s="5"/>
      <c r="J49" s="5"/>
      <c r="K49" s="5"/>
    </row>
    <row r="50" spans="2:11" ht="15.75" thickBot="1" x14ac:dyDescent="0.3">
      <c r="B50" s="976"/>
      <c r="C50" s="2"/>
      <c r="D50" s="40" t="s">
        <v>678</v>
      </c>
      <c r="E50" s="332"/>
      <c r="F50" s="5"/>
      <c r="G50" s="5"/>
      <c r="H50" s="5"/>
      <c r="I50" s="5"/>
      <c r="J50" s="5"/>
      <c r="K50" s="5"/>
    </row>
    <row r="51" spans="2:11" x14ac:dyDescent="0.25">
      <c r="B51" s="1"/>
      <c r="C51" s="76"/>
      <c r="D51" s="5"/>
      <c r="E51" s="5"/>
      <c r="F51" s="5"/>
      <c r="G51" s="5"/>
      <c r="H51" s="5"/>
      <c r="I51" s="5"/>
      <c r="J51" s="5"/>
      <c r="K51" s="5"/>
    </row>
    <row r="52" spans="2:11" ht="15.75" thickBot="1" x14ac:dyDescent="0.3">
      <c r="B52" s="1"/>
      <c r="C52" s="76"/>
      <c r="D52" s="5"/>
      <c r="E52" s="5"/>
      <c r="F52" s="5"/>
      <c r="G52" s="5"/>
      <c r="H52" s="5"/>
      <c r="I52" s="5"/>
      <c r="J52" s="5"/>
      <c r="K52" s="5"/>
    </row>
    <row r="53" spans="2:11" ht="15" customHeight="1" thickBot="1" x14ac:dyDescent="0.3">
      <c r="B53" s="119" t="s">
        <v>682</v>
      </c>
      <c r="C53" s="120"/>
      <c r="D53" s="120"/>
      <c r="E53" s="121"/>
      <c r="G53" s="5"/>
      <c r="H53" s="5"/>
      <c r="I53" s="5"/>
      <c r="J53" s="5"/>
      <c r="K53" s="5"/>
    </row>
    <row r="54" spans="2:11" ht="24.75" thickBot="1" x14ac:dyDescent="0.3">
      <c r="B54" s="47" t="s">
        <v>683</v>
      </c>
      <c r="C54" s="40" t="s">
        <v>684</v>
      </c>
      <c r="D54" s="40" t="s">
        <v>685</v>
      </c>
      <c r="E54" s="40" t="s">
        <v>686</v>
      </c>
      <c r="F54" s="5"/>
      <c r="G54" s="5"/>
      <c r="H54" s="5"/>
      <c r="I54" s="5"/>
      <c r="J54" s="5"/>
    </row>
    <row r="55" spans="2:11" ht="120.75" thickBot="1" x14ac:dyDescent="0.3">
      <c r="B55" s="49">
        <v>42401</v>
      </c>
      <c r="C55" s="40">
        <v>0.01</v>
      </c>
      <c r="D55" s="50" t="s">
        <v>1656</v>
      </c>
      <c r="E55" s="40"/>
      <c r="F55" s="5"/>
      <c r="G55" s="5"/>
      <c r="H55" s="5"/>
      <c r="I55" s="5"/>
      <c r="J55" s="5"/>
    </row>
    <row r="56" spans="2:11" ht="15.75" thickBot="1" x14ac:dyDescent="0.3">
      <c r="B56" s="3"/>
      <c r="C56" s="95"/>
      <c r="D56" s="5"/>
      <c r="E56" s="5"/>
      <c r="F56" s="5"/>
      <c r="G56" s="5"/>
      <c r="H56" s="5"/>
      <c r="I56" s="5"/>
      <c r="J56" s="5"/>
      <c r="K56" s="5"/>
    </row>
    <row r="57" spans="2:11" x14ac:dyDescent="0.25">
      <c r="B57" s="129" t="s">
        <v>593</v>
      </c>
      <c r="C57" s="96"/>
      <c r="D57" s="5"/>
      <c r="E57" s="5"/>
      <c r="F57" s="5"/>
      <c r="G57" s="5"/>
      <c r="H57" s="5"/>
      <c r="I57" s="5"/>
      <c r="J57" s="5"/>
      <c r="K57" s="5"/>
    </row>
    <row r="58" spans="2:11" x14ac:dyDescent="0.25">
      <c r="B58" s="1162"/>
      <c r="C58" s="1163"/>
      <c r="D58" s="1163"/>
      <c r="E58" s="1164"/>
      <c r="F58" s="5"/>
      <c r="G58" s="5"/>
      <c r="H58" s="5"/>
      <c r="I58" s="5"/>
      <c r="J58" s="5"/>
      <c r="K58" s="5"/>
    </row>
    <row r="59" spans="2:11" x14ac:dyDescent="0.25">
      <c r="B59" s="1165"/>
      <c r="C59" s="1166"/>
      <c r="D59" s="1166"/>
      <c r="E59" s="1167"/>
      <c r="F59" s="5"/>
      <c r="G59" s="5"/>
      <c r="H59" s="5"/>
      <c r="I59" s="5"/>
      <c r="J59" s="5"/>
      <c r="K59" s="5"/>
    </row>
    <row r="60" spans="2:11" x14ac:dyDescent="0.25">
      <c r="B60" s="1"/>
      <c r="C60" s="76"/>
      <c r="D60" s="5"/>
      <c r="E60" s="5"/>
      <c r="F60" s="5"/>
      <c r="G60" s="5"/>
      <c r="H60" s="5"/>
      <c r="I60" s="5"/>
      <c r="J60" s="5"/>
      <c r="K60" s="5"/>
    </row>
    <row r="61" spans="2:11" ht="15.75" thickBot="1" x14ac:dyDescent="0.3">
      <c r="B61" s="5"/>
      <c r="D61" s="5"/>
      <c r="E61" s="5"/>
      <c r="F61" s="5"/>
      <c r="G61" s="5"/>
      <c r="H61" s="5"/>
      <c r="I61" s="5"/>
      <c r="J61" s="5"/>
      <c r="K61" s="5"/>
    </row>
    <row r="62" spans="2:11" ht="15.75" thickBot="1" x14ac:dyDescent="0.3">
      <c r="B62" s="971" t="s">
        <v>688</v>
      </c>
      <c r="C62" s="972"/>
      <c r="D62" s="973"/>
      <c r="E62" s="5"/>
      <c r="F62" s="5"/>
      <c r="G62" s="5"/>
      <c r="H62" s="5"/>
      <c r="I62" s="5"/>
      <c r="J62" s="5"/>
      <c r="K62" s="5"/>
    </row>
    <row r="63" spans="2:11" ht="120" x14ac:dyDescent="0.25">
      <c r="B63" s="974" t="s">
        <v>689</v>
      </c>
      <c r="C63" s="94"/>
      <c r="D63" s="46" t="s">
        <v>1657</v>
      </c>
      <c r="E63" s="5"/>
      <c r="F63" s="5"/>
      <c r="G63" s="5"/>
      <c r="H63" s="5"/>
      <c r="I63" s="5"/>
      <c r="J63" s="5"/>
      <c r="K63" s="5"/>
    </row>
    <row r="64" spans="2:11" x14ac:dyDescent="0.25">
      <c r="B64" s="975"/>
      <c r="C64" s="94"/>
      <c r="D64" s="53" t="s">
        <v>692</v>
      </c>
      <c r="E64" s="5"/>
      <c r="F64" s="5"/>
      <c r="G64" s="5"/>
      <c r="H64" s="5"/>
      <c r="I64" s="5"/>
      <c r="J64" s="5"/>
      <c r="K64" s="5"/>
    </row>
    <row r="65" spans="2:11" ht="144" x14ac:dyDescent="0.25">
      <c r="B65" s="975"/>
      <c r="C65" s="94"/>
      <c r="D65" s="46" t="s">
        <v>1658</v>
      </c>
      <c r="E65" s="5"/>
      <c r="F65" s="5"/>
      <c r="G65" s="5"/>
      <c r="H65" s="5"/>
      <c r="I65" s="5"/>
      <c r="J65" s="5"/>
      <c r="K65" s="5"/>
    </row>
    <row r="66" spans="2:11" x14ac:dyDescent="0.25">
      <c r="B66" s="975"/>
      <c r="C66" s="94"/>
      <c r="D66" s="53" t="s">
        <v>695</v>
      </c>
      <c r="E66" s="5"/>
      <c r="F66" s="5"/>
      <c r="G66" s="5"/>
      <c r="H66" s="5"/>
      <c r="I66" s="5"/>
      <c r="J66" s="5"/>
      <c r="K66" s="5"/>
    </row>
    <row r="67" spans="2:11" ht="372.75" thickBot="1" x14ac:dyDescent="0.3">
      <c r="B67" s="976"/>
      <c r="C67" s="2"/>
      <c r="D67" s="40" t="s">
        <v>1659</v>
      </c>
      <c r="E67" s="5"/>
      <c r="F67" s="5"/>
      <c r="G67" s="5"/>
      <c r="H67" s="5"/>
      <c r="I67" s="5"/>
      <c r="J67" s="5"/>
      <c r="K67" s="5"/>
    </row>
    <row r="68" spans="2:11" ht="348" x14ac:dyDescent="0.25">
      <c r="B68" s="974" t="s">
        <v>691</v>
      </c>
      <c r="C68" s="94"/>
      <c r="D68" s="25" t="s">
        <v>1660</v>
      </c>
      <c r="E68" s="5"/>
      <c r="F68" s="5"/>
      <c r="G68" s="5"/>
      <c r="H68" s="5"/>
      <c r="I68" s="5"/>
      <c r="J68" s="5"/>
      <c r="K68" s="5"/>
    </row>
    <row r="69" spans="2:11" ht="264" x14ac:dyDescent="0.25">
      <c r="B69" s="975"/>
      <c r="C69" s="94"/>
      <c r="D69" s="25" t="s">
        <v>1661</v>
      </c>
      <c r="E69" s="5"/>
      <c r="F69" s="5"/>
      <c r="G69" s="5"/>
      <c r="H69" s="5"/>
      <c r="I69" s="5"/>
      <c r="J69" s="5"/>
      <c r="K69" s="5"/>
    </row>
    <row r="70" spans="2:11" ht="36" x14ac:dyDescent="0.25">
      <c r="B70" s="975"/>
      <c r="C70" s="94"/>
      <c r="D70" s="25" t="s">
        <v>1662</v>
      </c>
      <c r="E70" s="5"/>
      <c r="F70" s="5"/>
      <c r="G70" s="5"/>
      <c r="H70" s="5"/>
      <c r="I70" s="5"/>
      <c r="J70" s="5"/>
      <c r="K70" s="5"/>
    </row>
    <row r="71" spans="2:11" ht="24" x14ac:dyDescent="0.25">
      <c r="B71" s="975"/>
      <c r="C71" s="94"/>
      <c r="D71" s="25" t="s">
        <v>1663</v>
      </c>
      <c r="E71" s="5"/>
      <c r="F71" s="5"/>
      <c r="G71" s="5"/>
      <c r="H71" s="5"/>
      <c r="I71" s="5"/>
      <c r="J71" s="5"/>
      <c r="K71" s="5"/>
    </row>
    <row r="72" spans="2:11" x14ac:dyDescent="0.25">
      <c r="B72" s="975"/>
      <c r="C72" s="94"/>
      <c r="D72" s="53" t="s">
        <v>923</v>
      </c>
      <c r="E72" s="5"/>
      <c r="F72" s="5"/>
      <c r="G72" s="5"/>
      <c r="H72" s="5"/>
      <c r="I72" s="5"/>
      <c r="J72" s="5"/>
      <c r="K72" s="5"/>
    </row>
    <row r="73" spans="2:11" ht="15.75" thickBot="1" x14ac:dyDescent="0.3">
      <c r="B73" s="976"/>
      <c r="C73" s="2"/>
      <c r="D73" s="40" t="s">
        <v>924</v>
      </c>
      <c r="E73" s="5"/>
      <c r="F73" s="5"/>
      <c r="G73" s="5"/>
      <c r="H73" s="5"/>
      <c r="I73" s="5"/>
      <c r="J73" s="5"/>
      <c r="K73" s="5"/>
    </row>
    <row r="74" spans="2:11" ht="24.75" thickBot="1" x14ac:dyDescent="0.3">
      <c r="B74" s="47" t="s">
        <v>704</v>
      </c>
      <c r="C74" s="2"/>
      <c r="D74" s="40"/>
      <c r="E74" s="5"/>
      <c r="F74" s="5"/>
      <c r="G74" s="5"/>
      <c r="H74" s="5"/>
      <c r="I74" s="5"/>
      <c r="J74" s="5"/>
      <c r="K74" s="5"/>
    </row>
    <row r="75" spans="2:11" ht="396" x14ac:dyDescent="0.25">
      <c r="B75" s="974" t="s">
        <v>705</v>
      </c>
      <c r="C75" s="94"/>
      <c r="D75" s="46" t="s">
        <v>1664</v>
      </c>
      <c r="E75" s="5"/>
      <c r="F75" s="5"/>
      <c r="G75" s="5"/>
      <c r="H75" s="5"/>
      <c r="I75" s="5"/>
      <c r="J75" s="5"/>
      <c r="K75" s="5"/>
    </row>
    <row r="76" spans="2:11" ht="216" x14ac:dyDescent="0.25">
      <c r="B76" s="975"/>
      <c r="C76" s="94"/>
      <c r="D76" s="46" t="s">
        <v>1665</v>
      </c>
      <c r="E76" s="5"/>
      <c r="F76" s="5"/>
      <c r="G76" s="5"/>
      <c r="H76" s="5"/>
      <c r="I76" s="5"/>
      <c r="J76" s="5"/>
      <c r="K76" s="5"/>
    </row>
    <row r="77" spans="2:11" ht="120" x14ac:dyDescent="0.25">
      <c r="B77" s="975"/>
      <c r="C77" s="94"/>
      <c r="D77" s="46" t="s">
        <v>1666</v>
      </c>
      <c r="E77" s="5"/>
      <c r="F77" s="5"/>
      <c r="G77" s="5"/>
      <c r="H77" s="5"/>
      <c r="I77" s="5"/>
      <c r="J77" s="5"/>
      <c r="K77" s="5"/>
    </row>
    <row r="78" spans="2:11" ht="108" x14ac:dyDescent="0.25">
      <c r="B78" s="975"/>
      <c r="C78" s="94"/>
      <c r="D78" s="46" t="s">
        <v>1667</v>
      </c>
      <c r="E78" s="5"/>
      <c r="F78" s="5"/>
      <c r="G78" s="5"/>
      <c r="H78" s="5"/>
      <c r="I78" s="5"/>
      <c r="J78" s="5"/>
      <c r="K78" s="5"/>
    </row>
    <row r="79" spans="2:11" ht="252" x14ac:dyDescent="0.25">
      <c r="B79" s="975"/>
      <c r="C79" s="94"/>
      <c r="D79" s="46" t="s">
        <v>1668</v>
      </c>
      <c r="E79" s="5"/>
      <c r="F79" s="5"/>
      <c r="G79" s="5"/>
      <c r="H79" s="5"/>
      <c r="I79" s="5"/>
      <c r="J79" s="5"/>
      <c r="K79" s="5"/>
    </row>
    <row r="80" spans="2:11" ht="48" x14ac:dyDescent="0.25">
      <c r="B80" s="975"/>
      <c r="C80" s="94"/>
      <c r="D80" s="46" t="s">
        <v>1669</v>
      </c>
      <c r="E80" s="5"/>
      <c r="F80" s="5"/>
      <c r="G80" s="5"/>
      <c r="H80" s="5"/>
      <c r="I80" s="5"/>
      <c r="J80" s="5"/>
      <c r="K80" s="5"/>
    </row>
    <row r="81" spans="2:11" ht="96" x14ac:dyDescent="0.25">
      <c r="B81" s="975"/>
      <c r="C81" s="94"/>
      <c r="D81" s="61" t="s">
        <v>1670</v>
      </c>
      <c r="E81" s="5"/>
      <c r="F81" s="5"/>
      <c r="G81" s="5"/>
      <c r="H81" s="5"/>
      <c r="I81" s="5"/>
      <c r="J81" s="5"/>
      <c r="K81" s="5"/>
    </row>
    <row r="82" spans="2:11" ht="60" x14ac:dyDescent="0.25">
      <c r="B82" s="975"/>
      <c r="C82" s="94"/>
      <c r="D82" s="61" t="s">
        <v>1671</v>
      </c>
      <c r="E82" s="5"/>
      <c r="F82" s="5"/>
      <c r="G82" s="5"/>
      <c r="H82" s="5"/>
      <c r="I82" s="5"/>
      <c r="J82" s="5"/>
      <c r="K82" s="5"/>
    </row>
    <row r="83" spans="2:11" ht="52.5" thickBot="1" x14ac:dyDescent="0.3">
      <c r="B83" s="976"/>
      <c r="C83" s="2"/>
      <c r="D83" s="62" t="s">
        <v>1672</v>
      </c>
      <c r="E83" s="5"/>
      <c r="F83" s="5"/>
      <c r="G83" s="5"/>
      <c r="H83" s="5"/>
      <c r="I83" s="5"/>
      <c r="J83" s="5"/>
      <c r="K83" s="5"/>
    </row>
    <row r="84" spans="2:11" ht="15.75" thickBot="1" x14ac:dyDescent="0.3">
      <c r="B84" s="1"/>
      <c r="C84" s="76"/>
      <c r="D84" s="5"/>
      <c r="E84" s="5"/>
      <c r="F84" s="5"/>
      <c r="G84" s="5"/>
      <c r="H84" s="5"/>
      <c r="I84" s="5"/>
      <c r="J84" s="5"/>
      <c r="K84" s="5"/>
    </row>
    <row r="85" spans="2:11" ht="48" x14ac:dyDescent="0.25">
      <c r="B85" s="974" t="s">
        <v>722</v>
      </c>
      <c r="C85" s="105"/>
      <c r="D85" s="64" t="s">
        <v>1673</v>
      </c>
      <c r="E85" s="5"/>
      <c r="F85" s="5"/>
      <c r="G85" s="5"/>
      <c r="H85" s="5"/>
      <c r="I85" s="5"/>
      <c r="J85" s="5"/>
      <c r="K85" s="5"/>
    </row>
    <row r="86" spans="2:11" x14ac:dyDescent="0.25">
      <c r="B86" s="975"/>
      <c r="C86" s="94"/>
      <c r="D86" s="16"/>
      <c r="E86" s="5"/>
      <c r="F86" s="5"/>
      <c r="G86" s="5"/>
      <c r="H86" s="5"/>
      <c r="I86" s="5"/>
      <c r="J86" s="5"/>
      <c r="K86" s="5"/>
    </row>
    <row r="87" spans="2:11" x14ac:dyDescent="0.25">
      <c r="B87" s="975"/>
      <c r="C87" s="94"/>
      <c r="D87" s="46" t="s">
        <v>723</v>
      </c>
      <c r="E87" s="5"/>
      <c r="F87" s="5"/>
      <c r="G87" s="5"/>
      <c r="H87" s="5"/>
      <c r="I87" s="5"/>
      <c r="J87" s="5"/>
      <c r="K87" s="5"/>
    </row>
    <row r="88" spans="2:11" ht="109.5" x14ac:dyDescent="0.25">
      <c r="B88" s="975"/>
      <c r="C88" s="94"/>
      <c r="D88" s="46" t="s">
        <v>1674</v>
      </c>
      <c r="E88" s="5"/>
      <c r="F88" s="5"/>
      <c r="G88" s="5"/>
      <c r="H88" s="5"/>
      <c r="I88" s="5"/>
      <c r="J88" s="5"/>
      <c r="K88" s="5"/>
    </row>
    <row r="89" spans="2:11" ht="97.5" x14ac:dyDescent="0.25">
      <c r="B89" s="975"/>
      <c r="C89" s="94"/>
      <c r="D89" s="46" t="s">
        <v>1675</v>
      </c>
      <c r="E89" s="5"/>
      <c r="F89" s="5"/>
      <c r="G89" s="5"/>
      <c r="H89" s="5"/>
      <c r="I89" s="5"/>
      <c r="J89" s="5"/>
      <c r="K89" s="5"/>
    </row>
    <row r="90" spans="2:11" ht="98.25" thickBot="1" x14ac:dyDescent="0.3">
      <c r="B90" s="976"/>
      <c r="C90" s="2"/>
      <c r="D90" s="40" t="s">
        <v>1676</v>
      </c>
      <c r="E90" s="5"/>
      <c r="F90" s="5"/>
      <c r="G90" s="5"/>
      <c r="H90" s="5"/>
      <c r="I90" s="5"/>
      <c r="J90" s="5"/>
      <c r="K90" s="5"/>
    </row>
    <row r="91" spans="2:11" x14ac:dyDescent="0.25">
      <c r="B91" s="5"/>
      <c r="D91" s="5"/>
      <c r="E91" s="5"/>
      <c r="F91" s="5"/>
      <c r="G91" s="5"/>
      <c r="H91" s="5"/>
      <c r="I91" s="5"/>
      <c r="J91" s="5"/>
      <c r="K91" s="5"/>
    </row>
  </sheetData>
  <sheetProtection insertRows="0"/>
  <mergeCells count="26">
    <mergeCell ref="B13:B30"/>
    <mergeCell ref="D13:J13"/>
    <mergeCell ref="D18:J18"/>
    <mergeCell ref="D19:J19"/>
    <mergeCell ref="B62:D62"/>
    <mergeCell ref="D31:J31"/>
    <mergeCell ref="B58:E59"/>
    <mergeCell ref="B63:B67"/>
    <mergeCell ref="B68:B73"/>
    <mergeCell ref="B75:B83"/>
    <mergeCell ref="B85:B90"/>
    <mergeCell ref="D32:J32"/>
    <mergeCell ref="B34:E34"/>
    <mergeCell ref="B35:B41"/>
    <mergeCell ref="B43:E43"/>
    <mergeCell ref="B44:B50"/>
    <mergeCell ref="A1:P1"/>
    <mergeCell ref="A2:P2"/>
    <mergeCell ref="A3:P3"/>
    <mergeCell ref="A4:D4"/>
    <mergeCell ref="A5:P5"/>
    <mergeCell ref="B9:D9"/>
    <mergeCell ref="F9:S9"/>
    <mergeCell ref="F10:S10"/>
    <mergeCell ref="E11:R11"/>
    <mergeCell ref="E12:R12"/>
  </mergeCells>
  <conditionalFormatting sqref="E11:R11">
    <cfRule type="expression" dxfId="24" priority="1">
      <formula>E10="SI SE REPORTA"</formula>
    </cfRule>
  </conditionalFormatting>
  <conditionalFormatting sqref="F9">
    <cfRule type="notContainsBlanks" dxfId="23" priority="4">
      <formula>LEN(TRIM(F9))&gt;0</formula>
    </cfRule>
  </conditionalFormatting>
  <conditionalFormatting sqref="F10:S10">
    <cfRule type="expression" dxfId="22" priority="2">
      <formula>E10="NO SE REPORTA"</formula>
    </cfRule>
    <cfRule type="expression" dxfId="21" priority="3">
      <formula>E9="NO APLICA"</formula>
    </cfRule>
  </conditionalFormatting>
  <dataValidations count="3">
    <dataValidation type="list" allowBlank="1" showInputMessage="1" showErrorMessage="1" sqref="E9" xr:uid="{00000000-0002-0000-2000-000002000000}">
      <formula1>SI</formula1>
    </dataValidation>
    <dataValidation type="list" allowBlank="1" showInputMessage="1" showErrorMessage="1" sqref="E10" xr:uid="{00000000-0002-0000-2000-000001000000}">
      <formula1>REPORTE</formula1>
    </dataValidation>
    <dataValidation type="whole" operator="greaterThanOrEqual" allowBlank="1" showErrorMessage="1" errorTitle="ERROR" error="Escriba un número igual o mayor que 0" promptTitle="ERROR" prompt="Escriba un número igual o mayor que 0" sqref="E21:E30 E15:H16" xr:uid="{00000000-0002-0000-2000-000000000000}">
      <formula1>0</formula1>
    </dataValidation>
  </dataValidations>
  <hyperlinks>
    <hyperlink ref="B8" location="'ANEXO 3'!A1" display="VOLVER AL INDICE" xr:uid="{3DE5B668-5CA7-42B1-9881-448440588547}"/>
    <hyperlink ref="E39" r:id="rId1" xr:uid="{C6C6FCB0-0749-40BC-9481-B445AE3B470D}"/>
  </hyperlinks>
  <pageMargins left="0.25" right="0.25" top="0.75" bottom="0.75" header="0.3" footer="0.3"/>
  <pageSetup paperSize="178" orientation="landscape" horizontalDpi="1200" verticalDpi="1200"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5301D-4FE7-4A36-9AF8-83F4A15CCD83}">
  <dimension ref="A1:U139"/>
  <sheetViews>
    <sheetView showGridLines="0" topLeftCell="A11" zoomScale="98" zoomScaleNormal="98" workbookViewId="0">
      <selection activeCell="D18" sqref="D18:J19"/>
    </sheetView>
  </sheetViews>
  <sheetFormatPr baseColWidth="10" defaultRowHeight="15" x14ac:dyDescent="0.25"/>
  <cols>
    <col min="1" max="1" width="1.85546875" customWidth="1"/>
    <col min="2" max="2" width="10.5703125" customWidth="1"/>
    <col min="3" max="3" width="5" style="87" bestFit="1" customWidth="1"/>
    <col min="4" max="4" width="34.85546875" customWidth="1"/>
    <col min="5" max="5" width="12.140625" customWidth="1"/>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34</v>
      </c>
      <c r="B5" s="998"/>
      <c r="C5" s="998"/>
      <c r="D5" s="998"/>
      <c r="E5" s="998"/>
      <c r="F5" s="998"/>
      <c r="G5" s="998"/>
      <c r="H5" s="998"/>
      <c r="I5" s="998"/>
      <c r="J5" s="998"/>
      <c r="K5" s="998"/>
      <c r="L5" s="998"/>
      <c r="M5" s="998"/>
      <c r="N5" s="998"/>
      <c r="O5" s="998"/>
      <c r="P5" s="999"/>
    </row>
    <row r="6" spans="1:21" x14ac:dyDescent="0.25">
      <c r="B6" s="1" t="s">
        <v>626</v>
      </c>
      <c r="C6" s="76"/>
      <c r="D6" s="5"/>
      <c r="E6" s="210"/>
      <c r="F6" s="5" t="s">
        <v>627</v>
      </c>
      <c r="G6" s="5"/>
      <c r="H6" s="5"/>
      <c r="I6" s="5"/>
      <c r="J6" s="5"/>
      <c r="K6" s="5"/>
    </row>
    <row r="7" spans="1:21" ht="15.75" thickBot="1" x14ac:dyDescent="0.3">
      <c r="B7" s="75"/>
      <c r="C7" s="77"/>
      <c r="D7" s="5"/>
      <c r="E7" s="17"/>
      <c r="F7" s="5" t="s">
        <v>628</v>
      </c>
      <c r="G7" s="5"/>
      <c r="H7" s="5"/>
      <c r="I7" s="5"/>
      <c r="J7" s="5"/>
      <c r="K7" s="5"/>
    </row>
    <row r="8" spans="1:21" ht="15.75" thickBot="1" x14ac:dyDescent="0.3">
      <c r="B8" s="171" t="s">
        <v>629</v>
      </c>
      <c r="C8" s="211">
        <v>2024</v>
      </c>
      <c r="D8" s="216">
        <f>IF(E10="NO APLICA","NO APLICA",IF(E11="NO SE REPORTA","SIN INFORMACION",+F81))</f>
        <v>0.875</v>
      </c>
      <c r="E8" s="212"/>
      <c r="F8" s="5" t="s">
        <v>630</v>
      </c>
      <c r="G8" s="5"/>
      <c r="H8" s="5"/>
      <c r="I8" s="5"/>
      <c r="J8" s="5"/>
      <c r="K8" s="5"/>
    </row>
    <row r="9" spans="1:21" x14ac:dyDescent="0.25">
      <c r="B9" s="358" t="s">
        <v>631</v>
      </c>
      <c r="C9" s="88"/>
      <c r="D9" s="5"/>
      <c r="E9" s="5"/>
      <c r="F9" s="5"/>
      <c r="G9" s="5"/>
      <c r="H9" s="5"/>
      <c r="I9" s="5"/>
      <c r="J9" s="5"/>
      <c r="K9" s="5"/>
    </row>
    <row r="10" spans="1:21" x14ac:dyDescent="0.25">
      <c r="B10" s="1008" t="s">
        <v>632</v>
      </c>
      <c r="C10" s="1008"/>
      <c r="D10" s="1008"/>
      <c r="E10" s="361" t="s">
        <v>633</v>
      </c>
      <c r="F10" s="99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96"/>
      <c r="H10" s="996"/>
      <c r="I10" s="996"/>
      <c r="J10" s="996"/>
      <c r="K10" s="996"/>
      <c r="L10" s="996"/>
      <c r="M10" s="996"/>
      <c r="N10" s="996"/>
      <c r="O10" s="996"/>
      <c r="P10" s="996"/>
      <c r="Q10" s="996"/>
      <c r="R10" s="996"/>
      <c r="S10" s="996"/>
      <c r="T10" s="5"/>
      <c r="U10" s="5"/>
    </row>
    <row r="11" spans="1:21" ht="14.45" customHeight="1" x14ac:dyDescent="0.25">
      <c r="B11" s="360"/>
      <c r="C11" s="88"/>
      <c r="D11" s="171" t="str">
        <f>IF(E10="SI APLICA","¿El indicador no se reporta por limitaciones de información disponible? ","")</f>
        <v xml:space="preserve">¿El indicador no se reporta por limitaciones de información disponible? </v>
      </c>
      <c r="E11" s="362" t="s">
        <v>634</v>
      </c>
      <c r="F11" s="1009"/>
      <c r="G11" s="1010"/>
      <c r="H11" s="1010"/>
      <c r="I11" s="1010"/>
      <c r="J11" s="1010"/>
      <c r="K11" s="1010"/>
      <c r="L11" s="1010"/>
      <c r="M11" s="1010"/>
      <c r="N11" s="1010"/>
      <c r="O11" s="1010"/>
      <c r="P11" s="1010"/>
      <c r="Q11" s="1010"/>
      <c r="R11" s="1010"/>
      <c r="S11" s="1010"/>
    </row>
    <row r="12" spans="1:21" ht="23.45" customHeight="1" x14ac:dyDescent="0.25">
      <c r="B12" s="358"/>
      <c r="C12" s="88"/>
      <c r="D12" s="171" t="str">
        <f>IF(E11="SI SE REPORTA","¿Qué programas o proyectos del Plan de Acción están asociados al indicador? ","")</f>
        <v xml:space="preserve">¿Qué programas o proyectos del Plan de Acción están asociados al indicador? </v>
      </c>
      <c r="E12" s="1011" t="s">
        <v>2426</v>
      </c>
      <c r="F12" s="1011"/>
      <c r="G12" s="1011"/>
      <c r="H12" s="1011"/>
      <c r="I12" s="1011"/>
      <c r="J12" s="1011"/>
      <c r="K12" s="1011"/>
      <c r="L12" s="1011"/>
      <c r="M12" s="1011"/>
      <c r="N12" s="1011"/>
      <c r="O12" s="1011"/>
      <c r="P12" s="1011"/>
      <c r="Q12" s="1011"/>
      <c r="R12" s="1011"/>
    </row>
    <row r="13" spans="1:21" ht="21.95" customHeight="1" x14ac:dyDescent="0.25">
      <c r="B13" s="358"/>
      <c r="C13" s="88"/>
      <c r="D13" s="171" t="s">
        <v>635</v>
      </c>
      <c r="E13" s="1012"/>
      <c r="F13" s="1013"/>
      <c r="G13" s="1013"/>
      <c r="H13" s="1013"/>
      <c r="I13" s="1013"/>
      <c r="J13" s="1013"/>
      <c r="K13" s="1013"/>
      <c r="L13" s="1013"/>
      <c r="M13" s="1013"/>
      <c r="N13" s="1013"/>
      <c r="O13" s="1013"/>
      <c r="P13" s="1013"/>
      <c r="Q13" s="1013"/>
      <c r="R13" s="1014"/>
    </row>
    <row r="14" spans="1:21" ht="6.95" customHeight="1" thickBot="1" x14ac:dyDescent="0.3">
      <c r="B14" s="358"/>
      <c r="C14" s="88"/>
      <c r="D14" s="5"/>
      <c r="E14" s="5"/>
      <c r="F14" s="5"/>
      <c r="G14" s="5"/>
      <c r="H14" s="5"/>
      <c r="I14" s="5"/>
      <c r="J14" s="5"/>
      <c r="K14" s="5"/>
    </row>
    <row r="15" spans="1:21" ht="15" customHeight="1" thickTop="1" x14ac:dyDescent="0.25">
      <c r="B15" s="1044" t="s">
        <v>636</v>
      </c>
      <c r="C15" s="89"/>
      <c r="D15" s="956" t="s">
        <v>637</v>
      </c>
      <c r="E15" s="957"/>
      <c r="F15" s="957"/>
      <c r="G15" s="957"/>
      <c r="H15" s="957"/>
      <c r="I15" s="957"/>
      <c r="J15" s="957"/>
      <c r="K15" s="957"/>
      <c r="L15" s="1096"/>
      <c r="M15" s="1078"/>
    </row>
    <row r="16" spans="1:21" x14ac:dyDescent="0.25">
      <c r="B16" s="951"/>
      <c r="C16" s="92"/>
      <c r="D16" s="1116" t="s">
        <v>1677</v>
      </c>
      <c r="E16" s="1117"/>
      <c r="F16" s="1117"/>
      <c r="G16" s="1117"/>
      <c r="H16" s="1117"/>
      <c r="I16" s="1117"/>
      <c r="J16" s="1117"/>
      <c r="K16" s="1117"/>
      <c r="L16" s="1168"/>
      <c r="M16" s="1146"/>
    </row>
    <row r="17" spans="2:21" ht="15.75" thickBot="1" x14ac:dyDescent="0.3">
      <c r="B17" s="951"/>
      <c r="C17" s="92"/>
      <c r="D17" s="962" t="s">
        <v>1678</v>
      </c>
      <c r="E17" s="963"/>
      <c r="F17" s="963"/>
      <c r="G17" s="963"/>
      <c r="H17" s="963"/>
      <c r="I17" s="963"/>
      <c r="J17" s="963"/>
      <c r="K17" s="963"/>
      <c r="L17" s="1097"/>
      <c r="M17" s="1079"/>
    </row>
    <row r="18" spans="2:21" ht="15.75" thickBot="1" x14ac:dyDescent="0.3">
      <c r="B18" s="951"/>
      <c r="C18" s="94"/>
      <c r="D18" s="1170" t="s">
        <v>1679</v>
      </c>
      <c r="E18" s="1084" t="s">
        <v>1680</v>
      </c>
      <c r="F18" s="1094"/>
      <c r="G18" s="1084" t="s">
        <v>1681</v>
      </c>
      <c r="H18" s="1094"/>
      <c r="I18" s="1084" t="s">
        <v>764</v>
      </c>
      <c r="J18" s="1094"/>
      <c r="K18" s="59"/>
      <c r="M18" s="13"/>
    </row>
    <row r="19" spans="2:21" ht="15.75" thickBot="1" x14ac:dyDescent="0.3">
      <c r="B19" s="951"/>
      <c r="C19" s="94"/>
      <c r="D19" s="1171"/>
      <c r="E19" s="39" t="s">
        <v>1682</v>
      </c>
      <c r="F19" s="39" t="s">
        <v>1683</v>
      </c>
      <c r="G19" s="39" t="s">
        <v>1682</v>
      </c>
      <c r="H19" s="39" t="s">
        <v>1683</v>
      </c>
      <c r="I19" s="39" t="s">
        <v>1682</v>
      </c>
      <c r="J19" s="39" t="s">
        <v>1683</v>
      </c>
      <c r="M19" s="13"/>
    </row>
    <row r="20" spans="2:21" ht="15.75" thickBot="1" x14ac:dyDescent="0.3">
      <c r="B20" s="218"/>
      <c r="C20" s="94"/>
      <c r="D20" s="39" t="s">
        <v>1684</v>
      </c>
      <c r="E20" s="6">
        <v>1</v>
      </c>
      <c r="F20" s="6">
        <v>1</v>
      </c>
      <c r="G20" s="6"/>
      <c r="H20" s="6"/>
      <c r="I20" s="208">
        <f>+E20+G20</f>
        <v>1</v>
      </c>
      <c r="J20" s="208">
        <f>+F20+H20</f>
        <v>1</v>
      </c>
      <c r="M20" s="13"/>
    </row>
    <row r="21" spans="2:21" x14ac:dyDescent="0.25">
      <c r="B21" s="218"/>
      <c r="C21" s="101"/>
      <c r="D21" s="962"/>
      <c r="E21" s="963"/>
      <c r="F21" s="963"/>
      <c r="G21" s="963"/>
      <c r="H21" s="963"/>
      <c r="I21" s="963"/>
      <c r="J21" s="963"/>
      <c r="K21" s="963"/>
      <c r="L21" s="1097"/>
      <c r="M21" s="1079"/>
    </row>
    <row r="22" spans="2:21" ht="15.75" thickBot="1" x14ac:dyDescent="0.3">
      <c r="B22" s="218"/>
      <c r="C22" s="92"/>
      <c r="D22" s="130"/>
      <c r="E22" s="130"/>
      <c r="F22" s="351" t="s">
        <v>593</v>
      </c>
      <c r="G22" s="130"/>
      <c r="H22" s="130"/>
      <c r="I22" s="130"/>
      <c r="J22" s="130"/>
      <c r="K22" s="130"/>
      <c r="L22" s="348"/>
      <c r="M22" s="349"/>
    </row>
    <row r="23" spans="2:21" ht="24.75" thickBot="1" x14ac:dyDescent="0.3">
      <c r="B23" s="218"/>
      <c r="C23" s="94"/>
      <c r="D23" s="43" t="s">
        <v>1685</v>
      </c>
      <c r="E23" s="347">
        <f>+I20</f>
        <v>1</v>
      </c>
      <c r="F23" s="350"/>
      <c r="G23" s="5"/>
      <c r="H23" s="5"/>
      <c r="I23" s="5"/>
      <c r="J23" s="5"/>
      <c r="K23" s="5"/>
      <c r="M23" s="13"/>
    </row>
    <row r="24" spans="2:21" ht="24.75" thickBot="1" x14ac:dyDescent="0.3">
      <c r="B24" s="218"/>
      <c r="C24" s="94"/>
      <c r="D24" s="40" t="s">
        <v>1686</v>
      </c>
      <c r="E24" s="347">
        <f>+J20</f>
        <v>1</v>
      </c>
      <c r="F24" s="187"/>
      <c r="G24" s="5"/>
      <c r="H24" s="5"/>
      <c r="I24" s="5"/>
      <c r="J24" s="5"/>
      <c r="K24" s="5"/>
      <c r="M24" s="13"/>
    </row>
    <row r="25" spans="2:21" ht="24.75" thickBot="1" x14ac:dyDescent="0.3">
      <c r="B25" s="218"/>
      <c r="C25" s="94"/>
      <c r="D25" s="40" t="s">
        <v>1687</v>
      </c>
      <c r="E25" s="329">
        <f>+E24/E23</f>
        <v>1</v>
      </c>
      <c r="F25" s="187"/>
      <c r="G25" s="5"/>
      <c r="H25" s="5"/>
      <c r="I25" s="5"/>
      <c r="J25" s="5"/>
      <c r="K25" s="5"/>
      <c r="M25" s="13"/>
    </row>
    <row r="26" spans="2:21" x14ac:dyDescent="0.25">
      <c r="B26" s="218"/>
      <c r="C26" s="92"/>
      <c r="D26" s="1116" t="s">
        <v>1688</v>
      </c>
      <c r="E26" s="1117"/>
      <c r="F26" s="1117"/>
      <c r="G26" s="1117"/>
      <c r="H26" s="1117"/>
      <c r="I26" s="1117"/>
      <c r="J26" s="1117"/>
      <c r="K26" s="1117"/>
      <c r="L26" s="1168"/>
      <c r="M26" s="1146"/>
    </row>
    <row r="27" spans="2:21" ht="15.75" thickBot="1" x14ac:dyDescent="0.3">
      <c r="B27" s="218"/>
      <c r="C27" s="92"/>
      <c r="D27" s="959" t="s">
        <v>1689</v>
      </c>
      <c r="E27" s="960"/>
      <c r="F27" s="960"/>
      <c r="G27" s="960"/>
      <c r="H27" s="960"/>
      <c r="I27" s="960"/>
      <c r="J27" s="960"/>
      <c r="K27" s="960"/>
      <c r="L27" s="1083"/>
      <c r="M27" s="1080"/>
    </row>
    <row r="28" spans="2:21" ht="24.75" thickBot="1" x14ac:dyDescent="0.3">
      <c r="B28" s="218"/>
      <c r="C28" s="94"/>
      <c r="D28" s="43" t="s">
        <v>1690</v>
      </c>
      <c r="E28" s="326">
        <v>2</v>
      </c>
      <c r="F28" s="5"/>
      <c r="G28" s="5"/>
      <c r="H28" s="5"/>
      <c r="I28" s="5"/>
      <c r="J28" s="5"/>
      <c r="K28" s="5"/>
      <c r="M28" s="13"/>
    </row>
    <row r="29" spans="2:21" ht="24.75" thickBot="1" x14ac:dyDescent="0.3">
      <c r="B29" s="218"/>
      <c r="C29" s="94"/>
      <c r="D29" s="40" t="s">
        <v>1691</v>
      </c>
      <c r="E29" s="326">
        <v>17</v>
      </c>
      <c r="F29" s="5"/>
      <c r="G29" s="5"/>
      <c r="H29" s="5"/>
      <c r="I29" s="5"/>
      <c r="J29" s="5"/>
      <c r="K29" s="5"/>
      <c r="M29" s="13"/>
    </row>
    <row r="30" spans="2:21" ht="24.75" thickBot="1" x14ac:dyDescent="0.3">
      <c r="B30" s="218"/>
      <c r="C30" s="94"/>
      <c r="D30" s="40" t="s">
        <v>1692</v>
      </c>
      <c r="E30" s="326">
        <v>2</v>
      </c>
      <c r="F30" s="5"/>
      <c r="G30" s="5"/>
      <c r="H30" s="5"/>
      <c r="I30" s="5"/>
      <c r="J30" s="5"/>
      <c r="K30" s="5"/>
      <c r="M30" s="13"/>
    </row>
    <row r="31" spans="2:21" ht="15.75" thickBot="1" x14ac:dyDescent="0.3">
      <c r="B31" s="218"/>
      <c r="C31" s="92"/>
      <c r="D31" s="986" t="s">
        <v>1693</v>
      </c>
      <c r="E31" s="987"/>
      <c r="F31" s="987"/>
      <c r="G31" s="987"/>
      <c r="H31" s="987"/>
      <c r="I31" s="987"/>
      <c r="J31" s="987"/>
      <c r="K31" s="987"/>
      <c r="L31" s="1169"/>
      <c r="M31" s="1081"/>
    </row>
    <row r="32" spans="2:21" ht="15.75" thickBot="1" x14ac:dyDescent="0.3">
      <c r="B32" s="218"/>
      <c r="C32" s="98" t="s">
        <v>585</v>
      </c>
      <c r="D32" s="43" t="s">
        <v>1694</v>
      </c>
      <c r="E32" s="798">
        <v>1</v>
      </c>
      <c r="F32" s="798">
        <v>2</v>
      </c>
      <c r="G32" s="798">
        <v>3</v>
      </c>
      <c r="H32" s="798">
        <v>4</v>
      </c>
      <c r="I32" s="798">
        <v>5</v>
      </c>
      <c r="J32" s="798">
        <v>6</v>
      </c>
      <c r="K32" s="798">
        <v>7</v>
      </c>
      <c r="L32" s="798">
        <v>8</v>
      </c>
      <c r="M32" s="798">
        <v>9</v>
      </c>
      <c r="N32" s="798">
        <v>10</v>
      </c>
      <c r="O32" s="798">
        <v>11</v>
      </c>
      <c r="P32" s="798">
        <v>12</v>
      </c>
      <c r="Q32" s="798">
        <v>13</v>
      </c>
      <c r="R32" s="798">
        <v>14</v>
      </c>
      <c r="S32" s="817">
        <v>15</v>
      </c>
      <c r="T32" s="817">
        <v>16</v>
      </c>
      <c r="U32" s="816">
        <v>17</v>
      </c>
    </row>
    <row r="33" spans="2:21" ht="15.75" thickBot="1" x14ac:dyDescent="0.3">
      <c r="B33" s="218"/>
      <c r="C33" s="2" t="s">
        <v>765</v>
      </c>
      <c r="D33" s="40" t="s">
        <v>1695</v>
      </c>
      <c r="E33" s="815" t="s">
        <v>2408</v>
      </c>
      <c r="F33" s="815" t="s">
        <v>2404</v>
      </c>
      <c r="G33" s="815" t="s">
        <v>2403</v>
      </c>
      <c r="H33" s="815" t="s">
        <v>2425</v>
      </c>
      <c r="I33" s="815" t="s">
        <v>2402</v>
      </c>
      <c r="J33" s="815" t="s">
        <v>2401</v>
      </c>
      <c r="K33" s="815" t="s">
        <v>2424</v>
      </c>
      <c r="L33" s="814" t="s">
        <v>2400</v>
      </c>
      <c r="M33" s="814" t="s">
        <v>2423</v>
      </c>
      <c r="N33" s="814" t="s">
        <v>2422</v>
      </c>
      <c r="O33" s="814" t="s">
        <v>2421</v>
      </c>
      <c r="P33" s="814" t="s">
        <v>2420</v>
      </c>
      <c r="Q33" s="814" t="s">
        <v>2419</v>
      </c>
      <c r="R33" s="814" t="s">
        <v>2418</v>
      </c>
      <c r="S33" s="813" t="s">
        <v>2398</v>
      </c>
      <c r="T33" s="813" t="s">
        <v>2399</v>
      </c>
      <c r="U33" s="813" t="s">
        <v>2417</v>
      </c>
    </row>
    <row r="34" spans="2:21" ht="15.75" thickBot="1" x14ac:dyDescent="0.3">
      <c r="B34" s="218"/>
      <c r="C34" s="2" t="s">
        <v>767</v>
      </c>
      <c r="D34" s="125" t="s">
        <v>1696</v>
      </c>
      <c r="E34" s="812" t="s">
        <v>2396</v>
      </c>
      <c r="F34" s="811" t="s">
        <v>2395</v>
      </c>
      <c r="G34" s="811" t="s">
        <v>2394</v>
      </c>
      <c r="H34" s="811" t="s">
        <v>2416</v>
      </c>
      <c r="I34" s="811" t="s">
        <v>2393</v>
      </c>
      <c r="J34" s="811" t="s">
        <v>2392</v>
      </c>
      <c r="K34" s="811" t="s">
        <v>2395</v>
      </c>
      <c r="L34" s="810" t="s">
        <v>2391</v>
      </c>
      <c r="M34" s="810" t="s">
        <v>2415</v>
      </c>
      <c r="N34" s="810" t="s">
        <v>2414</v>
      </c>
      <c r="O34" s="810" t="s">
        <v>2413</v>
      </c>
      <c r="P34" s="810" t="s">
        <v>2412</v>
      </c>
      <c r="Q34" s="810" t="s">
        <v>2411</v>
      </c>
      <c r="R34" s="810" t="s">
        <v>2410</v>
      </c>
      <c r="S34" s="809" t="s">
        <v>2390</v>
      </c>
      <c r="T34" s="809" t="s">
        <v>2390</v>
      </c>
      <c r="U34" s="809" t="s">
        <v>2390</v>
      </c>
    </row>
    <row r="35" spans="2:21" ht="24.75" thickBot="1" x14ac:dyDescent="0.3">
      <c r="B35" s="218"/>
      <c r="C35" s="2" t="s">
        <v>769</v>
      </c>
      <c r="D35" s="125" t="s">
        <v>1697</v>
      </c>
      <c r="E35" s="353">
        <v>122</v>
      </c>
      <c r="F35" s="353">
        <v>122</v>
      </c>
      <c r="G35" s="353">
        <v>122</v>
      </c>
      <c r="H35" s="353">
        <v>122</v>
      </c>
      <c r="I35" s="353">
        <v>122</v>
      </c>
      <c r="J35" s="353">
        <v>122</v>
      </c>
      <c r="K35" s="353">
        <v>122</v>
      </c>
      <c r="L35" s="353">
        <v>122</v>
      </c>
      <c r="M35" s="353">
        <v>122</v>
      </c>
      <c r="N35" s="353">
        <v>122</v>
      </c>
      <c r="O35" s="353">
        <v>122</v>
      </c>
      <c r="P35" s="353">
        <v>122</v>
      </c>
      <c r="Q35" s="353">
        <v>122</v>
      </c>
      <c r="R35" s="353">
        <v>122</v>
      </c>
      <c r="S35" s="808">
        <v>122</v>
      </c>
      <c r="T35" s="808">
        <v>122</v>
      </c>
      <c r="U35" s="807">
        <v>122</v>
      </c>
    </row>
    <row r="36" spans="2:21" ht="24.75" thickBot="1" x14ac:dyDescent="0.3">
      <c r="B36" s="218"/>
      <c r="C36" s="2" t="s">
        <v>853</v>
      </c>
      <c r="D36" s="125" t="s">
        <v>1698</v>
      </c>
      <c r="E36" s="354">
        <f>60+10+10+10+11+10</f>
        <v>111</v>
      </c>
      <c r="F36" s="355">
        <f>60+10+10+10+11+10</f>
        <v>111</v>
      </c>
      <c r="G36" s="355">
        <f>60+10+10+10+11+10</f>
        <v>111</v>
      </c>
      <c r="H36" s="355">
        <f>61+10+10+10+11+10</f>
        <v>112</v>
      </c>
      <c r="I36" s="355">
        <f>61+10+10+10+11+10</f>
        <v>112</v>
      </c>
      <c r="J36" s="355">
        <f>61+10+10+10+11+10</f>
        <v>112</v>
      </c>
      <c r="K36" s="355">
        <f>60+10+10+10+11+10</f>
        <v>111</v>
      </c>
      <c r="L36" s="355">
        <f>61+10+10+10+11+10</f>
        <v>112</v>
      </c>
      <c r="M36" s="355">
        <f>58+10+9+10+11+10</f>
        <v>108</v>
      </c>
      <c r="N36" s="355">
        <f>60+10+10+10+11+10</f>
        <v>111</v>
      </c>
      <c r="O36" s="355">
        <f>61+10+10+10+11+10</f>
        <v>112</v>
      </c>
      <c r="P36" s="355">
        <f>60+10+10+10+11+10</f>
        <v>111</v>
      </c>
      <c r="Q36" s="355">
        <f>59+10+10+10+11+10</f>
        <v>110</v>
      </c>
      <c r="R36" s="355">
        <f>59+10+10+10+11+10</f>
        <v>110</v>
      </c>
      <c r="S36" s="806">
        <f>60+10+10+9+11+10</f>
        <v>110</v>
      </c>
      <c r="T36" s="806">
        <f>61+10+10+10+11+10</f>
        <v>112</v>
      </c>
      <c r="U36" s="805">
        <f>56+10+8+10+0+0</f>
        <v>84</v>
      </c>
    </row>
    <row r="37" spans="2:21" ht="24.75" thickBot="1" x14ac:dyDescent="0.3">
      <c r="B37" s="218"/>
      <c r="C37" s="1045" t="s">
        <v>855</v>
      </c>
      <c r="D37" s="46" t="s">
        <v>1699</v>
      </c>
      <c r="E37" s="352">
        <f t="shared" ref="E37:U37" si="0">IFERROR(E36/E35,"N.A.")</f>
        <v>0.9098360655737705</v>
      </c>
      <c r="F37" s="352">
        <f t="shared" si="0"/>
        <v>0.9098360655737705</v>
      </c>
      <c r="G37" s="352">
        <f t="shared" si="0"/>
        <v>0.9098360655737705</v>
      </c>
      <c r="H37" s="352">
        <f t="shared" si="0"/>
        <v>0.91803278688524592</v>
      </c>
      <c r="I37" s="352">
        <f t="shared" si="0"/>
        <v>0.91803278688524592</v>
      </c>
      <c r="J37" s="352">
        <f t="shared" si="0"/>
        <v>0.91803278688524592</v>
      </c>
      <c r="K37" s="352">
        <f t="shared" si="0"/>
        <v>0.9098360655737705</v>
      </c>
      <c r="L37" s="352">
        <f t="shared" si="0"/>
        <v>0.91803278688524592</v>
      </c>
      <c r="M37" s="352">
        <f t="shared" si="0"/>
        <v>0.88524590163934425</v>
      </c>
      <c r="N37" s="352">
        <f t="shared" si="0"/>
        <v>0.9098360655737705</v>
      </c>
      <c r="O37" s="352">
        <f t="shared" si="0"/>
        <v>0.91803278688524592</v>
      </c>
      <c r="P37" s="352">
        <f t="shared" si="0"/>
        <v>0.9098360655737705</v>
      </c>
      <c r="Q37" s="352">
        <f t="shared" si="0"/>
        <v>0.90163934426229508</v>
      </c>
      <c r="R37" s="352">
        <f t="shared" si="0"/>
        <v>0.90163934426229508</v>
      </c>
      <c r="S37" s="352">
        <f t="shared" si="0"/>
        <v>0.90163934426229508</v>
      </c>
      <c r="T37" s="352">
        <f t="shared" si="0"/>
        <v>0.91803278688524592</v>
      </c>
      <c r="U37" s="352">
        <f t="shared" si="0"/>
        <v>0.68852459016393441</v>
      </c>
    </row>
    <row r="38" spans="2:21" ht="24.75" thickBot="1" x14ac:dyDescent="0.3">
      <c r="B38" s="218"/>
      <c r="C38" s="1046"/>
      <c r="D38" s="40" t="s">
        <v>1700</v>
      </c>
      <c r="E38" s="149">
        <f t="shared" ref="E38:U38" si="1">+IF(E37="N.A.","N.A.",IF(E37&gt;=75%,1,0))</f>
        <v>1</v>
      </c>
      <c r="F38" s="149">
        <f t="shared" si="1"/>
        <v>1</v>
      </c>
      <c r="G38" s="149">
        <f t="shared" si="1"/>
        <v>1</v>
      </c>
      <c r="H38" s="149">
        <f t="shared" si="1"/>
        <v>1</v>
      </c>
      <c r="I38" s="149">
        <f t="shared" si="1"/>
        <v>1</v>
      </c>
      <c r="J38" s="149">
        <f t="shared" si="1"/>
        <v>1</v>
      </c>
      <c r="K38" s="149">
        <f t="shared" si="1"/>
        <v>1</v>
      </c>
      <c r="L38" s="149">
        <f t="shared" si="1"/>
        <v>1</v>
      </c>
      <c r="M38" s="149">
        <f t="shared" si="1"/>
        <v>1</v>
      </c>
      <c r="N38" s="149">
        <f t="shared" si="1"/>
        <v>1</v>
      </c>
      <c r="O38" s="149">
        <f t="shared" si="1"/>
        <v>1</v>
      </c>
      <c r="P38" s="149">
        <f t="shared" si="1"/>
        <v>1</v>
      </c>
      <c r="Q38" s="149">
        <f t="shared" si="1"/>
        <v>1</v>
      </c>
      <c r="R38" s="149">
        <f t="shared" si="1"/>
        <v>1</v>
      </c>
      <c r="S38" s="149">
        <f t="shared" si="1"/>
        <v>1</v>
      </c>
      <c r="T38" s="149">
        <f t="shared" si="1"/>
        <v>1</v>
      </c>
      <c r="U38" s="149">
        <f t="shared" si="1"/>
        <v>0</v>
      </c>
    </row>
    <row r="39" spans="2:21" ht="60.75" thickBot="1" x14ac:dyDescent="0.3">
      <c r="B39" s="218"/>
      <c r="C39" s="2" t="s">
        <v>857</v>
      </c>
      <c r="D39" s="40" t="s">
        <v>1701</v>
      </c>
      <c r="E39" s="804"/>
      <c r="F39" s="804"/>
      <c r="G39" s="804"/>
      <c r="H39" s="804"/>
      <c r="I39" s="804"/>
      <c r="J39" s="804"/>
      <c r="K39" s="804"/>
      <c r="L39" s="804"/>
      <c r="M39" s="804"/>
      <c r="N39" s="804"/>
      <c r="O39" s="804"/>
      <c r="P39" s="804"/>
      <c r="Q39" s="804"/>
      <c r="R39" s="804"/>
      <c r="S39" s="804"/>
      <c r="T39" s="804"/>
      <c r="U39" s="803" t="s">
        <v>2409</v>
      </c>
    </row>
    <row r="40" spans="2:21" x14ac:dyDescent="0.25">
      <c r="B40" s="218"/>
      <c r="C40" s="92"/>
      <c r="D40" s="956"/>
      <c r="E40" s="957"/>
      <c r="F40" s="957"/>
      <c r="G40" s="957"/>
      <c r="H40" s="957"/>
      <c r="I40" s="957"/>
      <c r="J40" s="957"/>
      <c r="K40" s="957"/>
      <c r="L40" s="1096"/>
      <c r="M40" s="1078"/>
    </row>
    <row r="41" spans="2:21" ht="15.75" thickBot="1" x14ac:dyDescent="0.3">
      <c r="B41" s="218"/>
      <c r="C41" s="92"/>
      <c r="D41" s="962" t="s">
        <v>1702</v>
      </c>
      <c r="E41" s="963"/>
      <c r="F41" s="963"/>
      <c r="G41" s="963"/>
      <c r="H41" s="963"/>
      <c r="I41" s="963"/>
      <c r="J41" s="963"/>
      <c r="K41" s="963"/>
      <c r="L41" s="1097"/>
      <c r="M41" s="1079"/>
    </row>
    <row r="42" spans="2:21" ht="15.75" thickBot="1" x14ac:dyDescent="0.3">
      <c r="B42" s="218"/>
      <c r="C42" s="98" t="s">
        <v>585</v>
      </c>
      <c r="D42" s="43" t="s">
        <v>1703</v>
      </c>
      <c r="E42" s="802">
        <v>1</v>
      </c>
      <c r="F42" s="802">
        <v>2</v>
      </c>
      <c r="G42" s="6"/>
      <c r="H42" s="43" t="s">
        <v>764</v>
      </c>
      <c r="I42" s="5"/>
      <c r="J42" s="156" t="s">
        <v>1704</v>
      </c>
      <c r="K42" s="5"/>
      <c r="M42" s="13"/>
    </row>
    <row r="43" spans="2:21" ht="48.75" thickBot="1" x14ac:dyDescent="0.3">
      <c r="B43" s="218"/>
      <c r="C43" s="2" t="s">
        <v>859</v>
      </c>
      <c r="D43" s="40" t="s">
        <v>1705</v>
      </c>
      <c r="E43" s="801" t="s">
        <v>2386</v>
      </c>
      <c r="F43" s="800" t="s">
        <v>2385</v>
      </c>
      <c r="G43" s="30"/>
      <c r="H43" s="150">
        <f>MAX(E42:G42)</f>
        <v>2</v>
      </c>
      <c r="I43" s="5"/>
      <c r="K43" s="5"/>
      <c r="M43" s="13"/>
    </row>
    <row r="44" spans="2:21" ht="15.75" thickBot="1" x14ac:dyDescent="0.3">
      <c r="B44" s="218"/>
      <c r="C44" s="2" t="s">
        <v>861</v>
      </c>
      <c r="D44" s="40" t="s">
        <v>1706</v>
      </c>
      <c r="E44" s="799">
        <v>14</v>
      </c>
      <c r="F44" s="799">
        <v>3</v>
      </c>
      <c r="G44" s="6"/>
      <c r="H44" s="151">
        <f>SUM(E44:G44)</f>
        <v>17</v>
      </c>
      <c r="I44" s="5"/>
      <c r="J44" s="5"/>
      <c r="K44" s="5"/>
      <c r="M44" s="13"/>
    </row>
    <row r="45" spans="2:21" ht="36.75" thickBot="1" x14ac:dyDescent="0.3">
      <c r="B45" s="218"/>
      <c r="C45" s="2" t="s">
        <v>863</v>
      </c>
      <c r="D45" s="40" t="s">
        <v>1707</v>
      </c>
      <c r="E45" s="799">
        <f>SUM(E38:R38)</f>
        <v>14</v>
      </c>
      <c r="F45" s="799">
        <f>SUM(S38:U38)</f>
        <v>2</v>
      </c>
      <c r="G45" s="6"/>
      <c r="H45" s="151">
        <f>SUM(E45:G45)</f>
        <v>16</v>
      </c>
      <c r="I45" s="5"/>
      <c r="J45" s="5"/>
      <c r="K45" s="5"/>
      <c r="M45" s="13"/>
    </row>
    <row r="46" spans="2:21" ht="24.75" thickBot="1" x14ac:dyDescent="0.3">
      <c r="B46" s="218"/>
      <c r="C46" s="1045" t="s">
        <v>1708</v>
      </c>
      <c r="D46" s="46" t="s">
        <v>1709</v>
      </c>
      <c r="E46" s="148">
        <f>IFERROR(E45/E44,"N.A.")</f>
        <v>1</v>
      </c>
      <c r="F46" s="148">
        <f>IFERROR(F45/F44,"N.A.")</f>
        <v>0.66666666666666663</v>
      </c>
      <c r="G46" s="148" t="str">
        <f>IFERROR(G45/G44,"N.A.")</f>
        <v>N.A.</v>
      </c>
      <c r="H46" s="152"/>
      <c r="I46" s="5"/>
      <c r="J46" s="5"/>
      <c r="K46" s="5"/>
      <c r="M46" s="13"/>
    </row>
    <row r="47" spans="2:21" ht="24.75" thickBot="1" x14ac:dyDescent="0.3">
      <c r="B47" s="218"/>
      <c r="C47" s="1046"/>
      <c r="D47" s="40" t="s">
        <v>1710</v>
      </c>
      <c r="E47" s="149">
        <f>+IF(E46="N.A.","N.A.",IF(E46&gt;=75%,1,0))</f>
        <v>1</v>
      </c>
      <c r="F47" s="149">
        <f>+IF(F46="N.A.","N.A.",IF(F46&gt;=75%,1,0))</f>
        <v>0</v>
      </c>
      <c r="G47" s="149" t="str">
        <f>+IF(G46="N.A.","N.A.",IF(G46&gt;=75%,1,0))</f>
        <v>N.A.</v>
      </c>
      <c r="H47" s="151">
        <f>SUM(E47:G47)</f>
        <v>1</v>
      </c>
      <c r="I47" s="5"/>
      <c r="J47" s="5"/>
      <c r="K47" s="5"/>
      <c r="M47" s="13"/>
    </row>
    <row r="48" spans="2:21" ht="15.75" thickBot="1" x14ac:dyDescent="0.3">
      <c r="B48" s="218"/>
      <c r="C48" s="2" t="s">
        <v>1711</v>
      </c>
      <c r="D48" s="983" t="s">
        <v>1712</v>
      </c>
      <c r="E48" s="984"/>
      <c r="F48" s="984"/>
      <c r="G48" s="985"/>
      <c r="H48" s="209">
        <f>IFERROR(H47/H43,"N.A.")</f>
        <v>0.5</v>
      </c>
      <c r="I48" s="5"/>
      <c r="J48" s="5"/>
      <c r="K48" s="5"/>
      <c r="M48" s="13"/>
    </row>
    <row r="49" spans="2:16" ht="15.75" thickBot="1" x14ac:dyDescent="0.3">
      <c r="B49" s="218"/>
      <c r="C49" s="92"/>
      <c r="D49" s="1116" t="s">
        <v>1713</v>
      </c>
      <c r="E49" s="1117"/>
      <c r="F49" s="1117"/>
      <c r="G49" s="1117"/>
      <c r="H49" s="1117"/>
      <c r="I49" s="1117"/>
      <c r="J49" s="1117"/>
      <c r="K49" s="1117"/>
      <c r="L49" s="1168"/>
      <c r="M49" s="1146"/>
    </row>
    <row r="50" spans="2:16" ht="24.75" thickBot="1" x14ac:dyDescent="0.3">
      <c r="B50" s="218"/>
      <c r="C50" s="94"/>
      <c r="D50" s="43" t="s">
        <v>1690</v>
      </c>
      <c r="E50" s="6">
        <v>2</v>
      </c>
      <c r="F50" s="5"/>
      <c r="G50" s="5"/>
      <c r="H50" s="5"/>
      <c r="I50" s="5"/>
      <c r="J50" s="5"/>
      <c r="K50" s="5"/>
      <c r="M50" s="13"/>
    </row>
    <row r="51" spans="2:16" ht="24.75" thickBot="1" x14ac:dyDescent="0.3">
      <c r="B51" s="218"/>
      <c r="C51" s="94"/>
      <c r="D51" s="40" t="s">
        <v>1691</v>
      </c>
      <c r="E51" s="6">
        <v>12</v>
      </c>
      <c r="F51" s="5"/>
      <c r="G51" s="5"/>
      <c r="H51" s="5"/>
      <c r="I51" s="5"/>
      <c r="J51" s="5"/>
      <c r="K51" s="5"/>
      <c r="M51" s="13"/>
    </row>
    <row r="52" spans="2:16" ht="24.75" thickBot="1" x14ac:dyDescent="0.3">
      <c r="B52" s="218"/>
      <c r="C52" s="94"/>
      <c r="D52" s="40" t="s">
        <v>1692</v>
      </c>
      <c r="E52" s="6">
        <v>2</v>
      </c>
      <c r="F52" s="5"/>
      <c r="G52" s="5"/>
      <c r="H52" s="5"/>
      <c r="I52" s="5"/>
      <c r="J52" s="5"/>
      <c r="K52" s="5"/>
      <c r="M52" s="13"/>
    </row>
    <row r="53" spans="2:16" ht="15.75" thickBot="1" x14ac:dyDescent="0.3">
      <c r="B53" s="218"/>
      <c r="C53" s="92"/>
      <c r="D53" s="986" t="s">
        <v>1693</v>
      </c>
      <c r="E53" s="987"/>
      <c r="F53" s="987"/>
      <c r="G53" s="987"/>
      <c r="H53" s="987"/>
      <c r="I53" s="987"/>
      <c r="J53" s="987"/>
      <c r="K53" s="987"/>
      <c r="L53" s="1169"/>
      <c r="M53" s="1081"/>
    </row>
    <row r="54" spans="2:16" ht="15.75" thickBot="1" x14ac:dyDescent="0.3">
      <c r="B54" s="218"/>
      <c r="C54" s="98" t="s">
        <v>585</v>
      </c>
      <c r="D54" s="43" t="s">
        <v>1694</v>
      </c>
      <c r="E54" s="794">
        <v>1</v>
      </c>
      <c r="F54" s="767">
        <v>2</v>
      </c>
      <c r="G54" s="798">
        <v>3</v>
      </c>
      <c r="H54" s="798">
        <v>4</v>
      </c>
      <c r="I54" s="796">
        <v>5</v>
      </c>
      <c r="J54" s="796">
        <v>6</v>
      </c>
      <c r="K54" s="797">
        <v>7</v>
      </c>
      <c r="L54" s="796">
        <v>8</v>
      </c>
      <c r="M54" s="797">
        <v>9</v>
      </c>
      <c r="N54" s="796">
        <v>10</v>
      </c>
      <c r="O54" s="797">
        <v>11</v>
      </c>
      <c r="P54" s="796">
        <v>12</v>
      </c>
    </row>
    <row r="55" spans="2:16" ht="24.75" thickBot="1" x14ac:dyDescent="0.3">
      <c r="B55" s="218"/>
      <c r="C55" s="2" t="s">
        <v>765</v>
      </c>
      <c r="D55" s="40" t="s">
        <v>1695</v>
      </c>
      <c r="E55" s="794" t="s">
        <v>2408</v>
      </c>
      <c r="F55" s="793" t="s">
        <v>2407</v>
      </c>
      <c r="G55" s="792" t="s">
        <v>2406</v>
      </c>
      <c r="H55" s="792" t="s">
        <v>2405</v>
      </c>
      <c r="I55" s="795" t="s">
        <v>2404</v>
      </c>
      <c r="J55" s="795" t="s">
        <v>2403</v>
      </c>
      <c r="K55" s="795" t="s">
        <v>2402</v>
      </c>
      <c r="L55" s="795" t="s">
        <v>2401</v>
      </c>
      <c r="M55" s="795" t="s">
        <v>2400</v>
      </c>
      <c r="N55" s="795" t="s">
        <v>2399</v>
      </c>
      <c r="O55" s="795" t="s">
        <v>2398</v>
      </c>
      <c r="P55" s="795" t="s">
        <v>2397</v>
      </c>
    </row>
    <row r="56" spans="2:16" ht="24.75" thickBot="1" x14ac:dyDescent="0.3">
      <c r="B56" s="218"/>
      <c r="C56" s="2" t="s">
        <v>767</v>
      </c>
      <c r="D56" s="40" t="s">
        <v>1714</v>
      </c>
      <c r="E56" s="794" t="s">
        <v>2396</v>
      </c>
      <c r="F56" s="793" t="s">
        <v>2394</v>
      </c>
      <c r="G56" s="792" t="s">
        <v>2393</v>
      </c>
      <c r="H56" s="792" t="s">
        <v>2392</v>
      </c>
      <c r="I56" s="791" t="s">
        <v>2395</v>
      </c>
      <c r="J56" s="791" t="s">
        <v>2394</v>
      </c>
      <c r="K56" s="791" t="s">
        <v>2393</v>
      </c>
      <c r="L56" s="791" t="s">
        <v>2392</v>
      </c>
      <c r="M56" s="791" t="s">
        <v>2391</v>
      </c>
      <c r="N56" s="791" t="s">
        <v>2390</v>
      </c>
      <c r="O56" s="791" t="s">
        <v>2390</v>
      </c>
      <c r="P56" s="790" t="s">
        <v>2390</v>
      </c>
    </row>
    <row r="57" spans="2:16" ht="24.75" thickBot="1" x14ac:dyDescent="0.3">
      <c r="B57" s="218"/>
      <c r="C57" s="2" t="s">
        <v>769</v>
      </c>
      <c r="D57" s="40" t="s">
        <v>1697</v>
      </c>
      <c r="E57" s="327">
        <v>122</v>
      </c>
      <c r="F57" s="327">
        <v>122</v>
      </c>
      <c r="G57" s="327">
        <v>122</v>
      </c>
      <c r="H57" s="327">
        <v>122</v>
      </c>
      <c r="I57" s="327">
        <v>71</v>
      </c>
      <c r="J57" s="327">
        <v>90</v>
      </c>
      <c r="K57" s="327">
        <v>90</v>
      </c>
      <c r="L57" s="327">
        <v>90</v>
      </c>
      <c r="M57" s="327">
        <v>90</v>
      </c>
      <c r="N57" s="327">
        <v>90</v>
      </c>
      <c r="O57" s="327">
        <v>90</v>
      </c>
      <c r="P57" s="327">
        <v>90</v>
      </c>
    </row>
    <row r="58" spans="2:16" ht="24.75" thickBot="1" x14ac:dyDescent="0.3">
      <c r="B58" s="218"/>
      <c r="C58" s="2" t="s">
        <v>853</v>
      </c>
      <c r="D58" s="40" t="s">
        <v>1698</v>
      </c>
      <c r="E58" s="327">
        <f>59+8+10+10+11+10</f>
        <v>108</v>
      </c>
      <c r="F58" s="327">
        <f>60+10+9+10+11+10</f>
        <v>110</v>
      </c>
      <c r="G58" s="327">
        <f>60+10+10+10+11+10</f>
        <v>111</v>
      </c>
      <c r="H58" s="327">
        <f>57+10+10+10+11+10</f>
        <v>108</v>
      </c>
      <c r="I58" s="327">
        <f>10+9+9+10+0+0</f>
        <v>38</v>
      </c>
      <c r="J58" s="327">
        <f>56+6+10+10+0+0</f>
        <v>82</v>
      </c>
      <c r="K58" s="327">
        <f>61+10+10+0+0+0</f>
        <v>81</v>
      </c>
      <c r="L58" s="327">
        <f>61+10+10+10+0+0</f>
        <v>91</v>
      </c>
      <c r="M58" s="327">
        <f>61+10+10+10+0</f>
        <v>91</v>
      </c>
      <c r="N58" s="327">
        <f>55+5+8+10+0</f>
        <v>78</v>
      </c>
      <c r="O58" s="327">
        <f>59+9+8+10+0</f>
        <v>86</v>
      </c>
      <c r="P58" s="327">
        <f>56+10+8+10+0+0</f>
        <v>84</v>
      </c>
    </row>
    <row r="59" spans="2:16" ht="24.75" thickBot="1" x14ac:dyDescent="0.3">
      <c r="B59" s="218"/>
      <c r="C59" s="1045" t="s">
        <v>855</v>
      </c>
      <c r="D59" s="46" t="s">
        <v>1699</v>
      </c>
      <c r="E59" s="148">
        <f t="shared" ref="E59:P59" si="2">IFERROR(E58/E57,"N.A.")</f>
        <v>0.88524590163934425</v>
      </c>
      <c r="F59" s="148">
        <f t="shared" si="2"/>
        <v>0.90163934426229508</v>
      </c>
      <c r="G59" s="148">
        <f t="shared" si="2"/>
        <v>0.9098360655737705</v>
      </c>
      <c r="H59" s="148">
        <f t="shared" si="2"/>
        <v>0.88524590163934425</v>
      </c>
      <c r="I59" s="148">
        <f t="shared" si="2"/>
        <v>0.53521126760563376</v>
      </c>
      <c r="J59" s="148">
        <f t="shared" si="2"/>
        <v>0.91111111111111109</v>
      </c>
      <c r="K59" s="148">
        <f t="shared" si="2"/>
        <v>0.9</v>
      </c>
      <c r="L59" s="148">
        <f t="shared" si="2"/>
        <v>1.0111111111111111</v>
      </c>
      <c r="M59" s="148">
        <f t="shared" si="2"/>
        <v>1.0111111111111111</v>
      </c>
      <c r="N59" s="148">
        <f t="shared" si="2"/>
        <v>0.8666666666666667</v>
      </c>
      <c r="O59" s="148">
        <f t="shared" si="2"/>
        <v>0.9555555555555556</v>
      </c>
      <c r="P59" s="148">
        <f t="shared" si="2"/>
        <v>0.93333333333333335</v>
      </c>
    </row>
    <row r="60" spans="2:16" ht="24.75" thickBot="1" x14ac:dyDescent="0.3">
      <c r="B60" s="218"/>
      <c r="C60" s="1046"/>
      <c r="D60" s="40" t="s">
        <v>1715</v>
      </c>
      <c r="E60" s="149">
        <f t="shared" ref="E60:P60" si="3">+IF(E59="N.A.","N.A.",IF(E59&gt;=75%,1,0))</f>
        <v>1</v>
      </c>
      <c r="F60" s="149">
        <f t="shared" si="3"/>
        <v>1</v>
      </c>
      <c r="G60" s="149">
        <f t="shared" si="3"/>
        <v>1</v>
      </c>
      <c r="H60" s="149">
        <f t="shared" si="3"/>
        <v>1</v>
      </c>
      <c r="I60" s="149">
        <f t="shared" si="3"/>
        <v>0</v>
      </c>
      <c r="J60" s="149">
        <f t="shared" si="3"/>
        <v>1</v>
      </c>
      <c r="K60" s="149">
        <f t="shared" si="3"/>
        <v>1</v>
      </c>
      <c r="L60" s="149">
        <f t="shared" si="3"/>
        <v>1</v>
      </c>
      <c r="M60" s="149">
        <f t="shared" si="3"/>
        <v>1</v>
      </c>
      <c r="N60" s="149">
        <f t="shared" si="3"/>
        <v>1</v>
      </c>
      <c r="O60" s="149">
        <f t="shared" si="3"/>
        <v>1</v>
      </c>
      <c r="P60" s="149">
        <f t="shared" si="3"/>
        <v>1</v>
      </c>
    </row>
    <row r="61" spans="2:16" ht="84.75" thickBot="1" x14ac:dyDescent="0.3">
      <c r="B61" s="218"/>
      <c r="C61" s="2" t="s">
        <v>857</v>
      </c>
      <c r="D61" s="40" t="s">
        <v>1701</v>
      </c>
      <c r="E61" s="789"/>
      <c r="F61" s="788"/>
      <c r="G61" s="788"/>
      <c r="H61" s="788"/>
      <c r="I61" s="29" t="s">
        <v>2388</v>
      </c>
      <c r="J61" s="29" t="s">
        <v>2388</v>
      </c>
      <c r="K61" s="29" t="s">
        <v>2389</v>
      </c>
      <c r="L61" s="29" t="s">
        <v>2388</v>
      </c>
      <c r="M61" s="29" t="s">
        <v>2389</v>
      </c>
      <c r="N61" s="29" t="s">
        <v>2388</v>
      </c>
      <c r="O61" s="29" t="s">
        <v>2388</v>
      </c>
      <c r="P61" s="29" t="s">
        <v>2387</v>
      </c>
    </row>
    <row r="62" spans="2:16" x14ac:dyDescent="0.25">
      <c r="B62" s="218"/>
      <c r="C62" s="92"/>
      <c r="D62" s="956"/>
      <c r="E62" s="957"/>
      <c r="F62" s="957"/>
      <c r="G62" s="957"/>
      <c r="H62" s="957"/>
      <c r="I62" s="957"/>
      <c r="J62" s="957"/>
      <c r="K62" s="957"/>
      <c r="L62" s="1096"/>
      <c r="M62" s="1078"/>
    </row>
    <row r="63" spans="2:16" ht="15.75" thickBot="1" x14ac:dyDescent="0.3">
      <c r="B63" s="218"/>
      <c r="C63" s="92"/>
      <c r="D63" s="962" t="s">
        <v>1702</v>
      </c>
      <c r="E63" s="963"/>
      <c r="F63" s="963"/>
      <c r="G63" s="963"/>
      <c r="H63" s="963"/>
      <c r="I63" s="963"/>
      <c r="J63" s="963"/>
      <c r="K63" s="963"/>
      <c r="L63" s="1097"/>
      <c r="M63" s="1079"/>
    </row>
    <row r="64" spans="2:16" ht="15.75" thickBot="1" x14ac:dyDescent="0.3">
      <c r="B64" s="218"/>
      <c r="C64" s="98" t="s">
        <v>585</v>
      </c>
      <c r="D64" s="43" t="s">
        <v>1703</v>
      </c>
      <c r="E64" s="787">
        <v>1</v>
      </c>
      <c r="F64" s="787">
        <v>2</v>
      </c>
      <c r="G64" s="43">
        <v>3</v>
      </c>
      <c r="H64" s="43" t="s">
        <v>764</v>
      </c>
      <c r="I64" s="5"/>
      <c r="J64" s="5"/>
      <c r="K64" s="5"/>
      <c r="M64" s="13"/>
    </row>
    <row r="65" spans="2:13" ht="48.75" thickBot="1" x14ac:dyDescent="0.3">
      <c r="B65" s="218"/>
      <c r="C65" s="2" t="s">
        <v>859</v>
      </c>
      <c r="D65" s="40" t="s">
        <v>1705</v>
      </c>
      <c r="E65" s="200" t="s">
        <v>2386</v>
      </c>
      <c r="F65" s="200" t="s">
        <v>2385</v>
      </c>
      <c r="G65" s="39" t="s">
        <v>1716</v>
      </c>
      <c r="H65" s="150">
        <f>MAX(E64:F64)</f>
        <v>2</v>
      </c>
      <c r="I65" s="5"/>
      <c r="J65" s="5"/>
      <c r="K65" s="5"/>
      <c r="M65" s="13"/>
    </row>
    <row r="66" spans="2:13" ht="15.75" thickBot="1" x14ac:dyDescent="0.3">
      <c r="B66" s="218"/>
      <c r="C66" s="2" t="s">
        <v>861</v>
      </c>
      <c r="D66" s="40" t="s">
        <v>1706</v>
      </c>
      <c r="E66" s="786">
        <v>9</v>
      </c>
      <c r="F66" s="786">
        <v>3</v>
      </c>
      <c r="G66" s="6"/>
      <c r="H66" s="151">
        <f>SUM(E66:G66)</f>
        <v>12</v>
      </c>
      <c r="I66" s="5"/>
      <c r="J66" s="5"/>
      <c r="K66" s="5"/>
      <c r="M66" s="13"/>
    </row>
    <row r="67" spans="2:13" ht="36.75" thickBot="1" x14ac:dyDescent="0.3">
      <c r="B67" s="218"/>
      <c r="C67" s="2" t="s">
        <v>863</v>
      </c>
      <c r="D67" s="40" t="s">
        <v>1717</v>
      </c>
      <c r="E67" s="786">
        <f>SUM(E60:M60)</f>
        <v>8</v>
      </c>
      <c r="F67" s="786">
        <f>SUM(N60:O60:P60)</f>
        <v>3</v>
      </c>
      <c r="G67" s="6"/>
      <c r="H67" s="151">
        <f>SUM(E67:G67)</f>
        <v>11</v>
      </c>
      <c r="I67" s="5"/>
      <c r="J67" s="5"/>
      <c r="K67" s="5"/>
      <c r="M67" s="13"/>
    </row>
    <row r="68" spans="2:13" ht="24.75" thickBot="1" x14ac:dyDescent="0.3">
      <c r="B68" s="218"/>
      <c r="C68" s="1045" t="s">
        <v>1708</v>
      </c>
      <c r="D68" s="46" t="s">
        <v>1709</v>
      </c>
      <c r="E68" s="148">
        <f>+E67/E66</f>
        <v>0.88888888888888884</v>
      </c>
      <c r="F68" s="148">
        <f>+F67/F66</f>
        <v>1</v>
      </c>
      <c r="G68" s="148" t="e">
        <f>+G67/G66</f>
        <v>#DIV/0!</v>
      </c>
      <c r="H68" s="152"/>
      <c r="I68" s="5"/>
      <c r="J68" s="5"/>
      <c r="K68" s="5"/>
      <c r="M68" s="13"/>
    </row>
    <row r="69" spans="2:13" ht="24.75" thickBot="1" x14ac:dyDescent="0.3">
      <c r="B69" s="218"/>
      <c r="C69" s="1046"/>
      <c r="D69" s="40" t="s">
        <v>1710</v>
      </c>
      <c r="E69" s="149">
        <f>+IF(E68&gt;=75%,1,0)</f>
        <v>1</v>
      </c>
      <c r="F69" s="149">
        <f>+IF(F68&gt;=75%,1,0)</f>
        <v>1</v>
      </c>
      <c r="G69" s="149" t="e">
        <f>+IF(G68&gt;=75%,1,0)</f>
        <v>#DIV/0!</v>
      </c>
      <c r="H69" s="151">
        <f>SUM(E69:F69)</f>
        <v>2</v>
      </c>
      <c r="I69" s="5"/>
      <c r="J69" s="5"/>
      <c r="K69" s="5"/>
      <c r="M69" s="13"/>
    </row>
    <row r="70" spans="2:13" ht="15.75" thickBot="1" x14ac:dyDescent="0.3">
      <c r="B70" s="218"/>
      <c r="C70" s="2" t="s">
        <v>1711</v>
      </c>
      <c r="D70" s="983" t="s">
        <v>1712</v>
      </c>
      <c r="E70" s="984"/>
      <c r="F70" s="984"/>
      <c r="G70" s="985"/>
      <c r="H70" s="153">
        <f>IFERROR(H69/H65,"N.A.")</f>
        <v>1</v>
      </c>
      <c r="I70" s="5"/>
      <c r="J70" s="5"/>
      <c r="K70" s="5"/>
      <c r="M70" s="13"/>
    </row>
    <row r="71" spans="2:13" x14ac:dyDescent="0.25">
      <c r="B71" s="218"/>
      <c r="C71" s="92"/>
      <c r="D71" s="962"/>
      <c r="E71" s="963"/>
      <c r="F71" s="963"/>
      <c r="G71" s="963"/>
      <c r="H71" s="963"/>
      <c r="I71" s="963"/>
      <c r="J71" s="963"/>
      <c r="K71" s="963"/>
      <c r="L71" s="1097"/>
      <c r="M71" s="1079"/>
    </row>
    <row r="72" spans="2:13" ht="15.75" thickBot="1" x14ac:dyDescent="0.3">
      <c r="B72" s="218"/>
      <c r="C72" s="92"/>
      <c r="D72" s="959" t="s">
        <v>1718</v>
      </c>
      <c r="E72" s="960"/>
      <c r="F72" s="960"/>
      <c r="G72" s="960"/>
      <c r="H72" s="960"/>
      <c r="I72" s="960"/>
      <c r="J72" s="960"/>
      <c r="K72" s="960"/>
      <c r="L72" s="1083"/>
      <c r="M72" s="1080"/>
    </row>
    <row r="73" spans="2:13" ht="15.75" thickBot="1" x14ac:dyDescent="0.3">
      <c r="B73" s="218"/>
      <c r="C73" s="98" t="s">
        <v>1719</v>
      </c>
      <c r="D73" s="38" t="s">
        <v>1720</v>
      </c>
      <c r="E73" s="154">
        <f>+H48</f>
        <v>0.5</v>
      </c>
      <c r="F73" s="5"/>
      <c r="G73" s="5"/>
      <c r="H73" s="5"/>
      <c r="I73" s="5"/>
      <c r="J73" s="5"/>
      <c r="K73" s="5"/>
      <c r="M73" s="13"/>
    </row>
    <row r="74" spans="2:13" ht="15.75" thickBot="1" x14ac:dyDescent="0.3">
      <c r="B74" s="218"/>
      <c r="C74" s="2" t="s">
        <v>1721</v>
      </c>
      <c r="D74" s="39" t="s">
        <v>1722</v>
      </c>
      <c r="E74" s="155">
        <f>+H70</f>
        <v>1</v>
      </c>
      <c r="F74" s="5"/>
      <c r="G74" s="5"/>
      <c r="H74" s="5"/>
      <c r="I74" s="5"/>
      <c r="J74" s="5"/>
      <c r="K74" s="5"/>
      <c r="M74" s="13"/>
    </row>
    <row r="75" spans="2:13" ht="36.75" thickBot="1" x14ac:dyDescent="0.3">
      <c r="B75" s="218"/>
      <c r="C75" s="2" t="s">
        <v>585</v>
      </c>
      <c r="D75" s="40" t="s">
        <v>1723</v>
      </c>
      <c r="E75" s="155">
        <f>AVERAGE(E73:E74)</f>
        <v>0.75</v>
      </c>
      <c r="F75" s="5"/>
      <c r="G75" s="5"/>
      <c r="H75" s="5"/>
      <c r="I75" s="5"/>
      <c r="J75" s="5"/>
      <c r="K75" s="5"/>
      <c r="M75" s="13"/>
    </row>
    <row r="76" spans="2:13" x14ac:dyDescent="0.25">
      <c r="B76" s="218"/>
      <c r="C76" s="92"/>
      <c r="D76" s="962"/>
      <c r="E76" s="963"/>
      <c r="F76" s="963"/>
      <c r="G76" s="963"/>
      <c r="H76" s="963"/>
      <c r="I76" s="963"/>
      <c r="J76" s="963"/>
      <c r="K76" s="963"/>
      <c r="L76" s="1097"/>
      <c r="M76" s="1079"/>
    </row>
    <row r="77" spans="2:13" ht="15.75" thickBot="1" x14ac:dyDescent="0.3">
      <c r="B77" s="218"/>
      <c r="C77" s="92"/>
      <c r="D77" s="959" t="s">
        <v>1724</v>
      </c>
      <c r="E77" s="960"/>
      <c r="F77" s="960"/>
      <c r="G77" s="960"/>
      <c r="H77" s="960"/>
      <c r="I77" s="960"/>
      <c r="J77" s="960"/>
      <c r="K77" s="960"/>
      <c r="L77" s="1083"/>
      <c r="M77" s="1080"/>
    </row>
    <row r="78" spans="2:13" ht="15.75" thickBot="1" x14ac:dyDescent="0.3">
      <c r="B78" s="218"/>
      <c r="C78" s="94"/>
      <c r="D78" s="24"/>
      <c r="E78" s="38" t="s">
        <v>1725</v>
      </c>
      <c r="F78" s="38" t="s">
        <v>1062</v>
      </c>
      <c r="H78" s="5"/>
      <c r="I78" s="5"/>
      <c r="J78" s="5"/>
      <c r="K78" s="5"/>
      <c r="M78" s="13"/>
    </row>
    <row r="79" spans="2:13" ht="24.75" thickBot="1" x14ac:dyDescent="0.3">
      <c r="B79" s="218"/>
      <c r="C79" s="94"/>
      <c r="D79" s="40" t="s">
        <v>1726</v>
      </c>
      <c r="E79" s="142">
        <f>+E25</f>
        <v>1</v>
      </c>
      <c r="F79" s="31">
        <v>0.5</v>
      </c>
      <c r="G79" s="5"/>
      <c r="H79" s="5"/>
      <c r="I79" s="5"/>
      <c r="J79" s="5"/>
      <c r="K79" s="5"/>
      <c r="M79" s="13"/>
    </row>
    <row r="80" spans="2:13" ht="24.75" thickBot="1" x14ac:dyDescent="0.3">
      <c r="B80" s="218"/>
      <c r="C80" s="94"/>
      <c r="D80" s="40" t="s">
        <v>1727</v>
      </c>
      <c r="E80" s="142">
        <f>+E75</f>
        <v>0.75</v>
      </c>
      <c r="F80" s="31">
        <v>0.5</v>
      </c>
      <c r="G80" s="5"/>
      <c r="H80" s="5"/>
      <c r="I80" s="5"/>
      <c r="J80" s="5"/>
      <c r="K80" s="5"/>
      <c r="M80" s="13"/>
    </row>
    <row r="81" spans="2:13" ht="24.75" thickBot="1" x14ac:dyDescent="0.3">
      <c r="B81" s="47"/>
      <c r="C81" s="2"/>
      <c r="D81" s="40" t="s">
        <v>34</v>
      </c>
      <c r="E81" s="205" t="str">
        <f>[5]Formulas!$D$29</f>
        <v/>
      </c>
      <c r="F81" s="197">
        <f>IFERROR([5]Formulas!$E$29,0)</f>
        <v>0.875</v>
      </c>
      <c r="G81" s="22"/>
      <c r="H81" s="22"/>
      <c r="I81" s="22"/>
      <c r="J81" s="22"/>
      <c r="K81" s="22"/>
      <c r="L81" s="14"/>
      <c r="M81" s="10"/>
    </row>
    <row r="82" spans="2:13" ht="24" customHeight="1" thickBot="1" x14ac:dyDescent="0.3">
      <c r="B82" s="47" t="s">
        <v>671</v>
      </c>
      <c r="C82" s="93"/>
      <c r="D82" s="983" t="s">
        <v>1728</v>
      </c>
      <c r="E82" s="984"/>
      <c r="F82" s="984"/>
      <c r="G82" s="984"/>
      <c r="H82" s="984"/>
      <c r="I82" s="984"/>
      <c r="J82" s="984"/>
      <c r="K82" s="984"/>
      <c r="L82" s="1091"/>
      <c r="M82" s="1082"/>
    </row>
    <row r="83" spans="2:13" ht="48.75" thickBot="1" x14ac:dyDescent="0.3">
      <c r="B83" s="47" t="s">
        <v>673</v>
      </c>
      <c r="C83" s="93"/>
      <c r="D83" s="983" t="s">
        <v>772</v>
      </c>
      <c r="E83" s="984"/>
      <c r="F83" s="984"/>
      <c r="G83" s="984"/>
      <c r="H83" s="984"/>
      <c r="I83" s="984"/>
      <c r="J83" s="984"/>
      <c r="K83" s="984"/>
      <c r="L83" s="1091"/>
      <c r="M83" s="1082"/>
    </row>
    <row r="84" spans="2:13" ht="15.75" thickBot="1" x14ac:dyDescent="0.3">
      <c r="B84" s="1"/>
      <c r="C84" s="76"/>
      <c r="D84" s="5"/>
      <c r="E84" s="5"/>
      <c r="F84" s="5"/>
      <c r="G84" s="5"/>
      <c r="H84" s="5"/>
      <c r="I84" s="5"/>
      <c r="J84" s="5"/>
      <c r="K84" s="5"/>
    </row>
    <row r="85" spans="2:13" ht="24" customHeight="1" thickBot="1" x14ac:dyDescent="0.3">
      <c r="B85" s="971" t="s">
        <v>675</v>
      </c>
      <c r="C85" s="972"/>
      <c r="D85" s="972"/>
      <c r="E85" s="973"/>
      <c r="F85" s="5"/>
      <c r="G85" s="5"/>
      <c r="H85" s="5"/>
      <c r="I85" s="5"/>
      <c r="J85" s="5"/>
      <c r="K85" s="5"/>
    </row>
    <row r="86" spans="2:13" ht="48.75" thickBot="1" x14ac:dyDescent="0.3">
      <c r="B86" s="974">
        <v>1</v>
      </c>
      <c r="C86" s="94"/>
      <c r="D86" s="48" t="s">
        <v>676</v>
      </c>
      <c r="E86" s="337" t="s">
        <v>2301</v>
      </c>
      <c r="F86" s="5"/>
      <c r="G86" s="5"/>
      <c r="H86" s="5"/>
      <c r="I86" s="5"/>
      <c r="J86" s="5"/>
      <c r="K86" s="5"/>
    </row>
    <row r="87" spans="2:13" ht="48.75" thickBot="1" x14ac:dyDescent="0.3">
      <c r="B87" s="975"/>
      <c r="C87" s="94"/>
      <c r="D87" s="40" t="s">
        <v>525</v>
      </c>
      <c r="E87" s="337" t="s">
        <v>2311</v>
      </c>
      <c r="F87" s="5"/>
      <c r="G87" s="5"/>
      <c r="H87" s="5"/>
      <c r="I87" s="5"/>
      <c r="J87" s="5"/>
      <c r="K87" s="5"/>
    </row>
    <row r="88" spans="2:13" ht="36.75" thickBot="1" x14ac:dyDescent="0.3">
      <c r="B88" s="975"/>
      <c r="C88" s="94"/>
      <c r="D88" s="40" t="s">
        <v>677</v>
      </c>
      <c r="E88" s="337" t="s">
        <v>2303</v>
      </c>
      <c r="F88" s="5"/>
      <c r="G88" s="5"/>
      <c r="H88" s="5"/>
      <c r="I88" s="5"/>
      <c r="J88" s="5"/>
      <c r="K88" s="5"/>
    </row>
    <row r="89" spans="2:13" ht="15.75" thickBot="1" x14ac:dyDescent="0.3">
      <c r="B89" s="975"/>
      <c r="C89" s="94"/>
      <c r="D89" s="40" t="s">
        <v>527</v>
      </c>
      <c r="E89" s="337" t="s">
        <v>2304</v>
      </c>
      <c r="F89" s="5"/>
      <c r="G89" s="5"/>
      <c r="H89" s="5"/>
      <c r="I89" s="5"/>
      <c r="J89" s="5"/>
      <c r="K89" s="5"/>
    </row>
    <row r="90" spans="2:13" ht="60.75" thickBot="1" x14ac:dyDescent="0.3">
      <c r="B90" s="975"/>
      <c r="C90" s="94"/>
      <c r="D90" s="40" t="s">
        <v>529</v>
      </c>
      <c r="E90" s="766" t="s">
        <v>2309</v>
      </c>
      <c r="F90" s="5"/>
      <c r="G90" s="5"/>
      <c r="H90" s="5"/>
      <c r="I90" s="5"/>
      <c r="J90" s="5"/>
      <c r="K90" s="5"/>
    </row>
    <row r="91" spans="2:13" ht="15.75" thickBot="1" x14ac:dyDescent="0.3">
      <c r="B91" s="975"/>
      <c r="C91" s="94"/>
      <c r="D91" s="40" t="s">
        <v>531</v>
      </c>
      <c r="E91" s="337">
        <v>5748960</v>
      </c>
      <c r="F91" s="5"/>
      <c r="G91" s="5"/>
      <c r="H91" s="5"/>
      <c r="I91" s="5"/>
      <c r="J91" s="5"/>
      <c r="K91" s="5"/>
    </row>
    <row r="92" spans="2:13" ht="60.75" thickBot="1" x14ac:dyDescent="0.3">
      <c r="B92" s="976"/>
      <c r="C92" s="2"/>
      <c r="D92" s="40" t="s">
        <v>678</v>
      </c>
      <c r="E92" s="337" t="s">
        <v>2312</v>
      </c>
      <c r="F92" s="5"/>
      <c r="G92" s="5"/>
      <c r="H92" s="5"/>
      <c r="I92" s="5"/>
      <c r="J92" s="5"/>
      <c r="K92" s="5"/>
    </row>
    <row r="93" spans="2:13" ht="15.75" thickBot="1" x14ac:dyDescent="0.3">
      <c r="B93" s="1"/>
      <c r="C93" s="76"/>
      <c r="D93" s="5"/>
      <c r="E93" s="5"/>
      <c r="F93" s="5"/>
      <c r="G93" s="5"/>
      <c r="H93" s="5"/>
      <c r="I93" s="5"/>
      <c r="J93" s="5"/>
      <c r="K93" s="5"/>
    </row>
    <row r="94" spans="2:13" ht="15.75" thickBot="1" x14ac:dyDescent="0.3">
      <c r="B94" s="971" t="s">
        <v>679</v>
      </c>
      <c r="C94" s="972"/>
      <c r="D94" s="972"/>
      <c r="E94" s="973"/>
      <c r="F94" s="5"/>
      <c r="G94" s="5"/>
      <c r="H94" s="5"/>
      <c r="I94" s="5"/>
      <c r="J94" s="5"/>
      <c r="K94" s="5"/>
    </row>
    <row r="95" spans="2:13" ht="15.75" thickBot="1" x14ac:dyDescent="0.3">
      <c r="B95" s="974">
        <v>1</v>
      </c>
      <c r="C95" s="94"/>
      <c r="D95" s="48" t="s">
        <v>676</v>
      </c>
      <c r="E95" s="219" t="s">
        <v>680</v>
      </c>
      <c r="F95" s="5"/>
      <c r="G95" s="5"/>
      <c r="H95" s="5"/>
      <c r="I95" s="5"/>
      <c r="J95" s="5"/>
      <c r="K95" s="5"/>
    </row>
    <row r="96" spans="2:13" ht="15.75" thickBot="1" x14ac:dyDescent="0.3">
      <c r="B96" s="975"/>
      <c r="C96" s="94"/>
      <c r="D96" s="40" t="s">
        <v>525</v>
      </c>
      <c r="E96" s="219" t="s">
        <v>773</v>
      </c>
      <c r="F96" s="5"/>
      <c r="G96" s="5"/>
      <c r="H96" s="5"/>
      <c r="I96" s="5"/>
      <c r="J96" s="5"/>
      <c r="K96" s="5"/>
    </row>
    <row r="97" spans="2:11" ht="15.75" thickBot="1" x14ac:dyDescent="0.3">
      <c r="B97" s="975"/>
      <c r="C97" s="94"/>
      <c r="D97" s="40" t="s">
        <v>677</v>
      </c>
      <c r="E97" s="165"/>
      <c r="F97" s="5"/>
      <c r="G97" s="5"/>
      <c r="H97" s="5"/>
      <c r="I97" s="5"/>
      <c r="J97" s="5"/>
      <c r="K97" s="5"/>
    </row>
    <row r="98" spans="2:11" ht="15.75" thickBot="1" x14ac:dyDescent="0.3">
      <c r="B98" s="975"/>
      <c r="C98" s="94"/>
      <c r="D98" s="40" t="s">
        <v>527</v>
      </c>
      <c r="E98" s="165"/>
      <c r="F98" s="5"/>
      <c r="G98" s="5"/>
      <c r="H98" s="5"/>
      <c r="I98" s="5"/>
      <c r="J98" s="5"/>
      <c r="K98" s="5"/>
    </row>
    <row r="99" spans="2:11" ht="15.75" thickBot="1" x14ac:dyDescent="0.3">
      <c r="B99" s="975"/>
      <c r="C99" s="94"/>
      <c r="D99" s="40" t="s">
        <v>529</v>
      </c>
      <c r="E99" s="165"/>
      <c r="F99" s="5"/>
      <c r="G99" s="5"/>
      <c r="H99" s="5"/>
      <c r="I99" s="5"/>
      <c r="J99" s="5"/>
      <c r="K99" s="5"/>
    </row>
    <row r="100" spans="2:11" ht="15.75" thickBot="1" x14ac:dyDescent="0.3">
      <c r="B100" s="975"/>
      <c r="C100" s="94"/>
      <c r="D100" s="40" t="s">
        <v>531</v>
      </c>
      <c r="E100" s="165"/>
      <c r="F100" s="5"/>
      <c r="G100" s="5"/>
      <c r="H100" s="5"/>
      <c r="I100" s="5"/>
      <c r="J100" s="5"/>
      <c r="K100" s="5"/>
    </row>
    <row r="101" spans="2:11" ht="15.75" thickBot="1" x14ac:dyDescent="0.3">
      <c r="B101" s="976"/>
      <c r="C101" s="2"/>
      <c r="D101" s="40" t="s">
        <v>678</v>
      </c>
      <c r="E101" s="165"/>
      <c r="F101" s="5"/>
      <c r="G101" s="5"/>
      <c r="H101" s="5"/>
      <c r="I101" s="5"/>
      <c r="J101" s="5"/>
      <c r="K101" s="5"/>
    </row>
    <row r="102" spans="2:11" ht="15.75" thickBot="1" x14ac:dyDescent="0.3">
      <c r="B102" s="1"/>
      <c r="C102" s="76"/>
      <c r="D102" s="5"/>
      <c r="E102" s="5"/>
      <c r="F102" s="5"/>
      <c r="G102" s="5"/>
      <c r="H102" s="5"/>
      <c r="I102" s="5"/>
      <c r="J102" s="5"/>
      <c r="K102" s="5"/>
    </row>
    <row r="103" spans="2:11" ht="15" customHeight="1" thickBot="1" x14ac:dyDescent="0.3">
      <c r="B103" s="122" t="s">
        <v>682</v>
      </c>
      <c r="C103" s="123"/>
      <c r="D103" s="123"/>
      <c r="E103" s="124"/>
      <c r="G103" s="5"/>
      <c r="H103" s="5"/>
      <c r="I103" s="5"/>
      <c r="J103" s="5"/>
      <c r="K103" s="5"/>
    </row>
    <row r="104" spans="2:11" ht="24.75" thickBot="1" x14ac:dyDescent="0.3">
      <c r="B104" s="47" t="s">
        <v>683</v>
      </c>
      <c r="C104" s="40" t="s">
        <v>684</v>
      </c>
      <c r="D104" s="40" t="s">
        <v>685</v>
      </c>
      <c r="E104" s="40" t="s">
        <v>686</v>
      </c>
      <c r="F104" s="5"/>
      <c r="G104" s="5"/>
      <c r="H104" s="5"/>
      <c r="I104" s="5"/>
      <c r="J104" s="5"/>
    </row>
    <row r="105" spans="2:11" ht="72.75" thickBot="1" x14ac:dyDescent="0.3">
      <c r="B105" s="49">
        <v>42401</v>
      </c>
      <c r="C105" s="40">
        <v>1</v>
      </c>
      <c r="D105" s="50" t="s">
        <v>1729</v>
      </c>
      <c r="E105" s="40"/>
      <c r="F105" s="5"/>
      <c r="G105" s="5"/>
      <c r="H105" s="5"/>
      <c r="I105" s="5"/>
      <c r="J105" s="5"/>
    </row>
    <row r="106" spans="2:11" ht="15.75" thickBot="1" x14ac:dyDescent="0.3">
      <c r="B106" s="3"/>
      <c r="C106" s="95"/>
      <c r="D106" s="5"/>
      <c r="E106" s="5"/>
      <c r="F106" s="5"/>
      <c r="G106" s="5"/>
      <c r="H106" s="5"/>
      <c r="I106" s="5"/>
      <c r="J106" s="5"/>
      <c r="K106" s="5"/>
    </row>
    <row r="107" spans="2:11" ht="24.75" thickBot="1" x14ac:dyDescent="0.3">
      <c r="B107" s="129" t="s">
        <v>593</v>
      </c>
      <c r="C107" s="96"/>
      <c r="D107" s="5"/>
      <c r="E107" s="5"/>
      <c r="F107" s="5"/>
      <c r="G107" s="5"/>
      <c r="H107" s="5"/>
      <c r="I107" s="5"/>
      <c r="J107" s="5"/>
      <c r="K107" s="5"/>
    </row>
    <row r="108" spans="2:11" x14ac:dyDescent="0.25">
      <c r="B108" s="1150"/>
      <c r="C108" s="1151"/>
      <c r="D108" s="1151"/>
      <c r="E108" s="1151"/>
      <c r="F108" s="1151"/>
      <c r="G108" s="1151"/>
      <c r="H108" s="1151"/>
      <c r="I108" s="1152"/>
      <c r="J108" s="5"/>
      <c r="K108" s="5"/>
    </row>
    <row r="109" spans="2:11" ht="15.75" thickBot="1" x14ac:dyDescent="0.3">
      <c r="B109" s="1153"/>
      <c r="C109" s="1154"/>
      <c r="D109" s="1154"/>
      <c r="E109" s="1154"/>
      <c r="F109" s="1154"/>
      <c r="G109" s="1154"/>
      <c r="H109" s="1154"/>
      <c r="I109" s="1155"/>
      <c r="J109" s="5"/>
      <c r="K109" s="5"/>
    </row>
    <row r="110" spans="2:11" ht="15.75" thickBot="1" x14ac:dyDescent="0.3">
      <c r="B110" s="5"/>
      <c r="D110" s="5"/>
      <c r="E110" s="5"/>
      <c r="F110" s="5"/>
      <c r="G110" s="5"/>
      <c r="H110" s="5"/>
      <c r="I110" s="5"/>
      <c r="J110" s="5"/>
      <c r="K110" s="5"/>
    </row>
    <row r="111" spans="2:11" ht="24.75" thickBot="1" x14ac:dyDescent="0.3">
      <c r="B111" s="51" t="s">
        <v>688</v>
      </c>
      <c r="C111" s="97"/>
      <c r="D111" s="5"/>
      <c r="E111" s="5"/>
      <c r="F111" s="5"/>
      <c r="G111" s="5"/>
      <c r="H111" s="5"/>
      <c r="I111" s="5"/>
      <c r="J111" s="5"/>
      <c r="K111" s="5"/>
    </row>
    <row r="112" spans="2:11" ht="15.75" thickBot="1" x14ac:dyDescent="0.3">
      <c r="B112" s="1"/>
      <c r="C112" s="76"/>
      <c r="D112" s="5"/>
      <c r="E112" s="5"/>
      <c r="F112" s="5"/>
      <c r="G112" s="5"/>
      <c r="H112" s="5"/>
      <c r="I112" s="5"/>
      <c r="J112" s="5"/>
      <c r="K112" s="5"/>
    </row>
    <row r="113" spans="2:11" ht="72.75" thickBot="1" x14ac:dyDescent="0.3">
      <c r="B113" s="52" t="s">
        <v>689</v>
      </c>
      <c r="C113" s="98"/>
      <c r="D113" s="43" t="s">
        <v>1730</v>
      </c>
      <c r="E113" s="5"/>
      <c r="F113" s="5"/>
      <c r="G113" s="5"/>
      <c r="H113" s="5"/>
      <c r="I113" s="5"/>
      <c r="J113" s="5"/>
      <c r="K113" s="5"/>
    </row>
    <row r="114" spans="2:11" x14ac:dyDescent="0.25">
      <c r="B114" s="974" t="s">
        <v>691</v>
      </c>
      <c r="C114" s="94"/>
      <c r="D114" s="53" t="s">
        <v>692</v>
      </c>
      <c r="E114" s="5"/>
      <c r="F114" s="5"/>
      <c r="G114" s="5"/>
      <c r="H114" s="5"/>
      <c r="I114" s="5"/>
      <c r="J114" s="5"/>
      <c r="K114" s="5"/>
    </row>
    <row r="115" spans="2:11" ht="108" x14ac:dyDescent="0.25">
      <c r="B115" s="975"/>
      <c r="C115" s="94"/>
      <c r="D115" s="46" t="s">
        <v>1731</v>
      </c>
      <c r="E115" s="5"/>
      <c r="F115" s="5"/>
      <c r="G115" s="5"/>
      <c r="H115" s="5"/>
      <c r="I115" s="5"/>
      <c r="J115" s="5"/>
      <c r="K115" s="5"/>
    </row>
    <row r="116" spans="2:11" x14ac:dyDescent="0.25">
      <c r="B116" s="975"/>
      <c r="C116" s="94"/>
      <c r="D116" s="53" t="s">
        <v>777</v>
      </c>
      <c r="E116" s="5"/>
      <c r="F116" s="5"/>
      <c r="G116" s="5"/>
      <c r="H116" s="5"/>
      <c r="I116" s="5"/>
      <c r="J116" s="5"/>
      <c r="K116" s="5"/>
    </row>
    <row r="117" spans="2:11" x14ac:dyDescent="0.25">
      <c r="B117" s="975"/>
      <c r="C117" s="94"/>
      <c r="D117" s="46" t="s">
        <v>1732</v>
      </c>
      <c r="E117" s="5"/>
      <c r="F117" s="5"/>
      <c r="G117" s="5"/>
      <c r="H117" s="5"/>
      <c r="I117" s="5"/>
      <c r="J117" s="5"/>
      <c r="K117" s="5"/>
    </row>
    <row r="118" spans="2:11" ht="48" x14ac:dyDescent="0.25">
      <c r="B118" s="975"/>
      <c r="C118" s="94"/>
      <c r="D118" s="46" t="s">
        <v>1733</v>
      </c>
      <c r="E118" s="5"/>
      <c r="F118" s="5"/>
      <c r="G118" s="5"/>
      <c r="H118" s="5"/>
      <c r="I118" s="5"/>
      <c r="J118" s="5"/>
      <c r="K118" s="5"/>
    </row>
    <row r="119" spans="2:11" x14ac:dyDescent="0.25">
      <c r="B119" s="975"/>
      <c r="C119" s="94"/>
      <c r="D119" s="55" t="s">
        <v>1734</v>
      </c>
      <c r="E119" s="5"/>
      <c r="F119" s="5"/>
      <c r="G119" s="5"/>
      <c r="H119" s="5"/>
      <c r="I119" s="5"/>
      <c r="J119" s="5"/>
      <c r="K119" s="5"/>
    </row>
    <row r="120" spans="2:11" ht="15.75" thickBot="1" x14ac:dyDescent="0.3">
      <c r="B120" s="976"/>
      <c r="C120" s="2"/>
      <c r="D120" s="56" t="s">
        <v>1735</v>
      </c>
      <c r="E120" s="5"/>
      <c r="F120" s="5"/>
      <c r="G120" s="5"/>
      <c r="H120" s="5"/>
      <c r="I120" s="5"/>
      <c r="J120" s="5"/>
      <c r="K120" s="5"/>
    </row>
    <row r="121" spans="2:11" ht="24.75" thickBot="1" x14ac:dyDescent="0.3">
      <c r="B121" s="47" t="s">
        <v>704</v>
      </c>
      <c r="C121" s="2"/>
      <c r="D121" s="40"/>
      <c r="E121" s="5"/>
      <c r="F121" s="5"/>
      <c r="G121" s="5"/>
      <c r="H121" s="5"/>
      <c r="I121" s="5"/>
      <c r="J121" s="5"/>
      <c r="K121" s="5"/>
    </row>
    <row r="122" spans="2:11" ht="72" x14ac:dyDescent="0.25">
      <c r="B122" s="974" t="s">
        <v>705</v>
      </c>
      <c r="C122" s="94"/>
      <c r="D122" s="46" t="s">
        <v>1736</v>
      </c>
      <c r="E122" s="5"/>
      <c r="F122" s="5"/>
      <c r="G122" s="5"/>
      <c r="H122" s="5"/>
      <c r="I122" s="5"/>
      <c r="J122" s="5"/>
      <c r="K122" s="5"/>
    </row>
    <row r="123" spans="2:11" ht="228" x14ac:dyDescent="0.25">
      <c r="B123" s="975"/>
      <c r="C123" s="94"/>
      <c r="D123" s="46" t="s">
        <v>1737</v>
      </c>
      <c r="E123" s="5"/>
      <c r="F123" s="5"/>
      <c r="G123" s="5"/>
      <c r="H123" s="5"/>
      <c r="I123" s="5"/>
      <c r="J123" s="5"/>
      <c r="K123" s="5"/>
    </row>
    <row r="124" spans="2:11" ht="84" x14ac:dyDescent="0.25">
      <c r="B124" s="975"/>
      <c r="C124" s="94"/>
      <c r="D124" s="46" t="s">
        <v>1738</v>
      </c>
      <c r="E124" s="5"/>
      <c r="F124" s="5"/>
      <c r="G124" s="5"/>
      <c r="H124" s="5"/>
      <c r="I124" s="5"/>
      <c r="J124" s="5"/>
      <c r="K124" s="5"/>
    </row>
    <row r="125" spans="2:11" ht="216.75" thickBot="1" x14ac:dyDescent="0.3">
      <c r="B125" s="976"/>
      <c r="C125" s="2"/>
      <c r="D125" s="40" t="s">
        <v>1739</v>
      </c>
      <c r="E125" s="5"/>
      <c r="F125" s="5"/>
      <c r="G125" s="5"/>
      <c r="H125" s="5"/>
      <c r="I125" s="5"/>
      <c r="J125" s="5"/>
      <c r="K125" s="5"/>
    </row>
    <row r="126" spans="2:11" x14ac:dyDescent="0.25">
      <c r="B126" s="974" t="s">
        <v>722</v>
      </c>
      <c r="C126" s="94"/>
      <c r="D126" s="46"/>
      <c r="E126" s="5"/>
      <c r="F126" s="5"/>
      <c r="G126" s="5"/>
      <c r="H126" s="5"/>
      <c r="I126" s="5"/>
      <c r="J126" s="5"/>
      <c r="K126" s="5"/>
    </row>
    <row r="127" spans="2:11" x14ac:dyDescent="0.25">
      <c r="B127" s="975"/>
      <c r="C127" s="94"/>
      <c r="D127" s="16"/>
      <c r="E127" s="5"/>
      <c r="F127" s="5"/>
      <c r="G127" s="5"/>
      <c r="H127" s="5"/>
      <c r="I127" s="5"/>
      <c r="J127" s="5"/>
      <c r="K127" s="5"/>
    </row>
    <row r="128" spans="2:11" x14ac:dyDescent="0.25">
      <c r="B128" s="975"/>
      <c r="C128" s="94"/>
      <c r="D128" s="46" t="s">
        <v>723</v>
      </c>
      <c r="E128" s="5"/>
      <c r="F128" s="5"/>
      <c r="G128" s="5"/>
      <c r="H128" s="5"/>
      <c r="I128" s="5"/>
      <c r="J128" s="5"/>
      <c r="K128" s="5"/>
    </row>
    <row r="129" spans="2:11" ht="37.5" x14ac:dyDescent="0.25">
      <c r="B129" s="975"/>
      <c r="C129" s="94"/>
      <c r="D129" s="46" t="s">
        <v>1740</v>
      </c>
      <c r="E129" s="5"/>
      <c r="F129" s="5"/>
      <c r="G129" s="5"/>
      <c r="H129" s="5"/>
      <c r="I129" s="5"/>
      <c r="J129" s="5"/>
      <c r="K129" s="5"/>
    </row>
    <row r="130" spans="2:11" ht="37.5" x14ac:dyDescent="0.25">
      <c r="B130" s="975"/>
      <c r="C130" s="94"/>
      <c r="D130" s="46" t="s">
        <v>1741</v>
      </c>
      <c r="E130" s="5"/>
      <c r="F130" s="5"/>
      <c r="G130" s="5"/>
      <c r="H130" s="5"/>
      <c r="I130" s="5"/>
      <c r="J130" s="5"/>
      <c r="K130" s="5"/>
    </row>
    <row r="131" spans="2:11" ht="37.5" x14ac:dyDescent="0.25">
      <c r="B131" s="975"/>
      <c r="C131" s="94"/>
      <c r="D131" s="46" t="s">
        <v>1742</v>
      </c>
      <c r="E131" s="5"/>
      <c r="F131" s="5"/>
      <c r="G131" s="5"/>
      <c r="H131" s="5"/>
      <c r="I131" s="5"/>
      <c r="J131" s="5"/>
      <c r="K131" s="5"/>
    </row>
    <row r="132" spans="2:11" ht="37.5" x14ac:dyDescent="0.25">
      <c r="B132" s="975"/>
      <c r="C132" s="94"/>
      <c r="D132" s="46" t="s">
        <v>1743</v>
      </c>
      <c r="E132" s="5"/>
      <c r="F132" s="5"/>
      <c r="G132" s="5"/>
      <c r="H132" s="5"/>
      <c r="I132" s="5"/>
      <c r="J132" s="5"/>
      <c r="K132" s="5"/>
    </row>
    <row r="133" spans="2:11" x14ac:dyDescent="0.25">
      <c r="B133" s="975"/>
      <c r="C133" s="94"/>
      <c r="D133" s="46" t="s">
        <v>1744</v>
      </c>
      <c r="E133" s="5"/>
      <c r="F133" s="5"/>
      <c r="G133" s="5"/>
      <c r="H133" s="5"/>
      <c r="I133" s="5"/>
      <c r="J133" s="5"/>
      <c r="K133" s="5"/>
    </row>
    <row r="134" spans="2:11" x14ac:dyDescent="0.25">
      <c r="B134" s="975"/>
      <c r="C134" s="94"/>
      <c r="D134" s="46" t="s">
        <v>1745</v>
      </c>
      <c r="E134" s="5"/>
      <c r="F134" s="5"/>
      <c r="G134" s="5"/>
      <c r="H134" s="5"/>
      <c r="I134" s="5"/>
      <c r="J134" s="5"/>
      <c r="K134" s="5"/>
    </row>
    <row r="135" spans="2:11" x14ac:dyDescent="0.25">
      <c r="B135" s="975"/>
      <c r="C135" s="94"/>
      <c r="D135" s="46" t="s">
        <v>1746</v>
      </c>
      <c r="E135" s="5"/>
      <c r="F135" s="5"/>
      <c r="G135" s="5"/>
      <c r="H135" s="5"/>
      <c r="I135" s="5"/>
      <c r="J135" s="5"/>
      <c r="K135" s="5"/>
    </row>
    <row r="136" spans="2:11" x14ac:dyDescent="0.25">
      <c r="B136" s="975"/>
      <c r="C136" s="94"/>
      <c r="D136" s="46" t="s">
        <v>731</v>
      </c>
      <c r="E136" s="5"/>
      <c r="F136" s="5"/>
      <c r="G136" s="5"/>
      <c r="H136" s="5"/>
      <c r="I136" s="5"/>
      <c r="J136" s="5"/>
      <c r="K136" s="5"/>
    </row>
    <row r="137" spans="2:11" ht="60.75" thickBot="1" x14ac:dyDescent="0.3">
      <c r="B137" s="976"/>
      <c r="C137" s="2"/>
      <c r="D137" s="40" t="s">
        <v>1747</v>
      </c>
      <c r="E137" s="5"/>
      <c r="F137" s="5"/>
      <c r="G137" s="5"/>
      <c r="H137" s="5"/>
      <c r="I137" s="5"/>
      <c r="J137" s="5"/>
      <c r="K137" s="5"/>
    </row>
    <row r="138" spans="2:11" x14ac:dyDescent="0.25">
      <c r="B138" s="5"/>
      <c r="D138" s="5"/>
      <c r="E138" s="5"/>
      <c r="F138" s="5"/>
      <c r="G138" s="5"/>
      <c r="H138" s="5"/>
      <c r="I138" s="5"/>
      <c r="J138" s="5"/>
      <c r="K138" s="5"/>
    </row>
    <row r="139" spans="2:11" x14ac:dyDescent="0.25">
      <c r="B139" s="5"/>
      <c r="D139" s="5"/>
      <c r="E139" s="5"/>
      <c r="F139" s="5"/>
      <c r="G139" s="5"/>
      <c r="H139" s="5"/>
      <c r="I139" s="5"/>
      <c r="J139" s="5"/>
      <c r="K139" s="5"/>
    </row>
  </sheetData>
  <sheetProtection insertColumns="0" insertRows="0"/>
  <mergeCells count="48">
    <mergeCell ref="B15:B19"/>
    <mergeCell ref="B108:I109"/>
    <mergeCell ref="D83:M83"/>
    <mergeCell ref="B85:E85"/>
    <mergeCell ref="B86:B92"/>
    <mergeCell ref="B94:E94"/>
    <mergeCell ref="B95:B101"/>
    <mergeCell ref="D41:M41"/>
    <mergeCell ref="D15:M15"/>
    <mergeCell ref="D16:M16"/>
    <mergeCell ref="D17:M17"/>
    <mergeCell ref="D26:M26"/>
    <mergeCell ref="D27:M27"/>
    <mergeCell ref="D31:M31"/>
    <mergeCell ref="D40:M40"/>
    <mergeCell ref="D18:D19"/>
    <mergeCell ref="E18:F18"/>
    <mergeCell ref="I18:J18"/>
    <mergeCell ref="C37:C38"/>
    <mergeCell ref="G18:H18"/>
    <mergeCell ref="D21:M21"/>
    <mergeCell ref="C46:C47"/>
    <mergeCell ref="D76:M76"/>
    <mergeCell ref="D62:M62"/>
    <mergeCell ref="D48:G48"/>
    <mergeCell ref="C59:C60"/>
    <mergeCell ref="D49:M49"/>
    <mergeCell ref="D53:M53"/>
    <mergeCell ref="D70:G70"/>
    <mergeCell ref="C68:C69"/>
    <mergeCell ref="D63:M63"/>
    <mergeCell ref="D71:M71"/>
    <mergeCell ref="D72:M72"/>
    <mergeCell ref="D77:M77"/>
    <mergeCell ref="B114:B120"/>
    <mergeCell ref="B122:B125"/>
    <mergeCell ref="B126:B137"/>
    <mergeCell ref="D82:M82"/>
    <mergeCell ref="B10:D10"/>
    <mergeCell ref="F10:S10"/>
    <mergeCell ref="F11:S11"/>
    <mergeCell ref="E12:R12"/>
    <mergeCell ref="E13:R13"/>
    <mergeCell ref="A1:P1"/>
    <mergeCell ref="A2:P2"/>
    <mergeCell ref="A3:P3"/>
    <mergeCell ref="A4:D4"/>
    <mergeCell ref="A5:P5"/>
  </mergeCells>
  <conditionalFormatting sqref="E81">
    <cfRule type="containsText" dxfId="20" priority="5" operator="containsText" text="ERROR">
      <formula>NOT(ISERROR(SEARCH("ERROR",E81)))</formula>
    </cfRule>
  </conditionalFormatting>
  <conditionalFormatting sqref="E12:R12">
    <cfRule type="expression" dxfId="19" priority="1">
      <formula>E11="SI SE REPORTA"</formula>
    </cfRule>
  </conditionalFormatting>
  <conditionalFormatting sqref="F10">
    <cfRule type="notContainsBlanks" dxfId="18" priority="4">
      <formula>LEN(TRIM(F10))&gt;0</formula>
    </cfRule>
  </conditionalFormatting>
  <conditionalFormatting sqref="F11:S11">
    <cfRule type="expression" dxfId="17" priority="2">
      <formula>E11="NO SE REPORTA"</formula>
    </cfRule>
    <cfRule type="expression" dxfId="16" priority="3">
      <formula>E10="NO APLICA"</formula>
    </cfRule>
  </conditionalFormatting>
  <dataValidations count="4">
    <dataValidation type="list" allowBlank="1" showInputMessage="1" showErrorMessage="1" sqref="E10" xr:uid="{00000000-0002-0000-2100-000003000000}">
      <formula1>SI</formula1>
    </dataValidation>
    <dataValidation type="list" allowBlank="1" showInputMessage="1" showErrorMessage="1" sqref="E11" xr:uid="{00000000-0002-0000-2100-000002000000}">
      <formula1>REPORTE</formula1>
    </dataValidation>
    <dataValidation type="decimal" allowBlank="1" showInputMessage="1" showErrorMessage="1" errorTitle="ERROR" error="Escriba un valor entre 0% y 100%" sqref="F79:F80" xr:uid="{7D1D5E3C-6CF8-4D3F-A9D4-F6A5DCE42495}">
      <formula1>0</formula1>
      <formula2>1</formula2>
    </dataValidation>
    <dataValidation type="whole" operator="greaterThanOrEqual" allowBlank="1" showErrorMessage="1" errorTitle="ERROR" error="Escriba un número igual o mayor que 0" promptTitle="ERROR" prompt="Escriba un número igual o mayor que 0" sqref="E20:J20 E50:E52 E28:E30 G44:G45 E35:U36 E66:G67 E57:P58" xr:uid="{00000000-0002-0000-2100-000000000000}">
      <formula1>0</formula1>
    </dataValidation>
  </dataValidations>
  <hyperlinks>
    <hyperlink ref="D119" r:id="rId1" display="http://www.sisaire.gov.co/" xr:uid="{ABDD7352-A830-4421-BB6F-CF8CEA1C1FCF}"/>
    <hyperlink ref="D120" r:id="rId2" display="http://www.sirh.ideam.gov.co/" xr:uid="{FA16F9F8-D71D-42C5-A5DB-4D4006C8BE3A}"/>
    <hyperlink ref="B9" location="'ANEXO 3'!A1" display="VOLVER AL INDICE" xr:uid="{0EB32E2B-69CC-41F2-A6DC-11B4FE7C5B72}"/>
    <hyperlink ref="E90" r:id="rId3" xr:uid="{805280BD-DDA7-4466-9B5F-C0645A0A8AC8}"/>
  </hyperlinks>
  <pageMargins left="0.25" right="0.25" top="0.75" bottom="0.75" header="0.3" footer="0.3"/>
  <pageSetup paperSize="178" orientation="landscape" horizontalDpi="1200" verticalDpi="1200" r:id="rId4"/>
  <drawing r:id="rId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4C19B-5B7C-4CF5-B574-0FFF737F3F10}">
  <dimension ref="A1:U183"/>
  <sheetViews>
    <sheetView showGridLines="0" topLeftCell="A14" zoomScale="98" zoomScaleNormal="98" workbookViewId="0">
      <selection activeCell="D18" sqref="D18:I18"/>
    </sheetView>
  </sheetViews>
  <sheetFormatPr baseColWidth="10" defaultRowHeight="15" x14ac:dyDescent="0.25"/>
  <cols>
    <col min="1" max="1" width="1.85546875" customWidth="1"/>
    <col min="2" max="2" width="12.85546875" customWidth="1"/>
    <col min="3" max="3" width="5.140625" style="87" bestFit="1" customWidth="1"/>
    <col min="4" max="4" width="34.85546875" customWidth="1"/>
    <col min="5" max="5" width="12.140625" customWidth="1"/>
    <col min="11" max="11" width="22" customWidth="1"/>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35</v>
      </c>
      <c r="B5" s="998"/>
      <c r="C5" s="998"/>
      <c r="D5" s="998"/>
      <c r="E5" s="998"/>
      <c r="F5" s="998"/>
      <c r="G5" s="998"/>
      <c r="H5" s="998"/>
      <c r="I5" s="998"/>
      <c r="J5" s="998"/>
      <c r="K5" s="998"/>
      <c r="L5" s="998"/>
      <c r="M5" s="998"/>
      <c r="N5" s="998"/>
      <c r="O5" s="998"/>
      <c r="P5" s="999"/>
    </row>
    <row r="6" spans="1:21" x14ac:dyDescent="0.25">
      <c r="B6" s="1" t="s">
        <v>626</v>
      </c>
      <c r="C6" s="76"/>
      <c r="D6" s="5"/>
      <c r="E6" s="74"/>
      <c r="F6" s="5" t="s">
        <v>627</v>
      </c>
      <c r="G6" s="5"/>
      <c r="H6" s="5"/>
      <c r="I6" s="5"/>
      <c r="J6" s="5"/>
      <c r="K6" s="5"/>
    </row>
    <row r="7" spans="1:21" ht="15.75" thickBot="1" x14ac:dyDescent="0.3">
      <c r="B7" s="75"/>
      <c r="C7" s="77"/>
      <c r="D7" s="5"/>
      <c r="E7" s="17"/>
      <c r="F7" s="5" t="s">
        <v>628</v>
      </c>
      <c r="G7" s="5"/>
      <c r="H7" s="5"/>
      <c r="I7" s="5"/>
      <c r="J7" s="5"/>
      <c r="K7" s="5"/>
    </row>
    <row r="8" spans="1:21" ht="15.75" thickBot="1" x14ac:dyDescent="0.3">
      <c r="B8" s="171" t="s">
        <v>629</v>
      </c>
      <c r="C8" s="211">
        <v>2024</v>
      </c>
      <c r="D8" s="216">
        <f>IF(E10="NO APLICA","NO APLICA",IF(E11="NO SE REPORTA","SIN INFORMACION",+E30))</f>
        <v>0.96577791398508539</v>
      </c>
      <c r="E8" s="212"/>
      <c r="F8" s="5" t="s">
        <v>630</v>
      </c>
      <c r="G8" s="5"/>
      <c r="H8" s="5"/>
      <c r="I8" s="5"/>
      <c r="J8" s="5"/>
      <c r="K8" s="5"/>
    </row>
    <row r="9" spans="1:21" x14ac:dyDescent="0.25">
      <c r="B9" s="358" t="s">
        <v>631</v>
      </c>
      <c r="D9" s="5"/>
      <c r="E9" s="5"/>
      <c r="F9" s="5"/>
      <c r="G9" s="5"/>
      <c r="H9" s="5"/>
      <c r="I9" s="5"/>
      <c r="J9" s="5"/>
      <c r="K9" s="5"/>
    </row>
    <row r="10" spans="1:21" x14ac:dyDescent="0.25">
      <c r="B10" s="1008" t="s">
        <v>632</v>
      </c>
      <c r="C10" s="1008"/>
      <c r="D10" s="1008"/>
      <c r="E10" s="361" t="s">
        <v>633</v>
      </c>
      <c r="F10" s="99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96"/>
      <c r="H10" s="996"/>
      <c r="I10" s="996"/>
      <c r="J10" s="996"/>
      <c r="K10" s="996"/>
      <c r="L10" s="996"/>
      <c r="M10" s="996"/>
      <c r="N10" s="996"/>
      <c r="O10" s="996"/>
      <c r="P10" s="996"/>
      <c r="Q10" s="996"/>
      <c r="R10" s="996"/>
      <c r="S10" s="996"/>
      <c r="T10" s="5"/>
      <c r="U10" s="5"/>
    </row>
    <row r="11" spans="1:21" ht="14.45" customHeight="1" x14ac:dyDescent="0.25">
      <c r="B11" s="360"/>
      <c r="C11" s="88"/>
      <c r="D11" s="171" t="str">
        <f>IF(E10="SI APLICA","¿El indicador no se reporta por limitaciones de información disponible? ","")</f>
        <v xml:space="preserve">¿El indicador no se reporta por limitaciones de información disponible? </v>
      </c>
      <c r="E11" s="362" t="s">
        <v>634</v>
      </c>
      <c r="F11" s="1009"/>
      <c r="G11" s="1010"/>
      <c r="H11" s="1010"/>
      <c r="I11" s="1010"/>
      <c r="J11" s="1010"/>
      <c r="K11" s="1010"/>
      <c r="L11" s="1010"/>
      <c r="M11" s="1010"/>
      <c r="N11" s="1010"/>
      <c r="O11" s="1010"/>
      <c r="P11" s="1010"/>
      <c r="Q11" s="1010"/>
      <c r="R11" s="1010"/>
      <c r="S11" s="1010"/>
    </row>
    <row r="12" spans="1:21" ht="23.45" customHeight="1" x14ac:dyDescent="0.25">
      <c r="B12" s="358"/>
      <c r="C12" s="88"/>
      <c r="D12" s="171" t="str">
        <f>IF(E11="SI SE REPORTA","¿Qué programas o proyectos del Plan de Acción están asociados al indicador? ","")</f>
        <v xml:space="preserve">¿Qué programas o proyectos del Plan de Acción están asociados al indicador? </v>
      </c>
      <c r="E12" s="1011" t="s">
        <v>2426</v>
      </c>
      <c r="F12" s="1011"/>
      <c r="G12" s="1011"/>
      <c r="H12" s="1011"/>
      <c r="I12" s="1011"/>
      <c r="J12" s="1011"/>
      <c r="K12" s="1011"/>
      <c r="L12" s="1011"/>
      <c r="M12" s="1011"/>
      <c r="N12" s="1011"/>
      <c r="O12" s="1011"/>
      <c r="P12" s="1011"/>
      <c r="Q12" s="1011"/>
      <c r="R12" s="1011"/>
    </row>
    <row r="13" spans="1:21" ht="21.95" customHeight="1" x14ac:dyDescent="0.25">
      <c r="B13" s="358"/>
      <c r="C13" s="88"/>
      <c r="D13" s="171" t="s">
        <v>635</v>
      </c>
      <c r="E13" s="1012"/>
      <c r="F13" s="1013"/>
      <c r="G13" s="1013"/>
      <c r="H13" s="1013"/>
      <c r="I13" s="1013"/>
      <c r="J13" s="1013"/>
      <c r="K13" s="1013"/>
      <c r="L13" s="1013"/>
      <c r="M13" s="1013"/>
      <c r="N13" s="1013"/>
      <c r="O13" s="1013"/>
      <c r="P13" s="1013"/>
      <c r="Q13" s="1013"/>
      <c r="R13" s="1014"/>
    </row>
    <row r="14" spans="1:21" ht="6.95" customHeight="1" thickBot="1" x14ac:dyDescent="0.3">
      <c r="B14" s="358"/>
      <c r="D14" s="5"/>
      <c r="E14" s="5"/>
      <c r="F14" s="5"/>
      <c r="G14" s="5"/>
      <c r="H14" s="5"/>
      <c r="I14" s="5"/>
      <c r="J14" s="5"/>
      <c r="K14" s="5"/>
    </row>
    <row r="15" spans="1:21" x14ac:dyDescent="0.25">
      <c r="B15" s="974" t="s">
        <v>636</v>
      </c>
      <c r="C15" s="89"/>
      <c r="D15" s="965" t="s">
        <v>1748</v>
      </c>
      <c r="E15" s="966"/>
      <c r="F15" s="966"/>
      <c r="G15" s="966"/>
      <c r="H15" s="967"/>
      <c r="I15" s="5"/>
      <c r="J15" s="5"/>
      <c r="K15" s="5"/>
      <c r="L15" s="5"/>
      <c r="M15" s="5"/>
      <c r="N15" s="5"/>
      <c r="O15" s="5"/>
    </row>
    <row r="16" spans="1:21" x14ac:dyDescent="0.25">
      <c r="B16" s="975"/>
      <c r="C16" s="92"/>
      <c r="D16" s="959" t="s">
        <v>1749</v>
      </c>
      <c r="E16" s="960"/>
      <c r="F16" s="960"/>
      <c r="G16" s="960"/>
      <c r="H16" s="961"/>
      <c r="I16" s="5"/>
      <c r="J16" s="5"/>
      <c r="K16" s="5"/>
      <c r="L16" s="5"/>
      <c r="M16" s="5"/>
      <c r="N16" s="5"/>
      <c r="O16" s="5"/>
    </row>
    <row r="17" spans="1:15" ht="15.75" thickBot="1" x14ac:dyDescent="0.3">
      <c r="B17" s="975"/>
      <c r="C17" s="92"/>
      <c r="D17" s="986" t="s">
        <v>637</v>
      </c>
      <c r="E17" s="987"/>
      <c r="F17" s="987"/>
      <c r="G17" s="987"/>
      <c r="H17" s="988"/>
      <c r="I17" s="5"/>
      <c r="J17" s="5"/>
      <c r="K17" s="5"/>
      <c r="L17" s="5"/>
      <c r="M17" s="5"/>
      <c r="N17" s="5"/>
      <c r="O17" s="5"/>
    </row>
    <row r="18" spans="1:15" ht="15.75" thickBot="1" x14ac:dyDescent="0.3">
      <c r="B18" s="975"/>
      <c r="C18" s="98" t="s">
        <v>585</v>
      </c>
      <c r="D18" s="38" t="s">
        <v>1750</v>
      </c>
      <c r="E18" s="38" t="s">
        <v>1751</v>
      </c>
      <c r="F18" s="38" t="s">
        <v>1752</v>
      </c>
      <c r="G18" s="38" t="s">
        <v>1753</v>
      </c>
      <c r="H18" s="114"/>
      <c r="I18" s="5"/>
      <c r="J18" s="5"/>
      <c r="K18" s="5"/>
      <c r="L18" s="5"/>
      <c r="M18" s="5"/>
      <c r="N18" s="5"/>
      <c r="O18" s="5"/>
    </row>
    <row r="19" spans="1:15" ht="24.75" thickBot="1" x14ac:dyDescent="0.3">
      <c r="B19" s="975"/>
      <c r="C19" s="2" t="s">
        <v>765</v>
      </c>
      <c r="D19" s="40" t="s">
        <v>1754</v>
      </c>
      <c r="E19" s="146"/>
      <c r="F19" s="146">
        <v>2928</v>
      </c>
      <c r="G19" s="146"/>
      <c r="H19" s="115"/>
      <c r="I19" s="5"/>
      <c r="J19" s="5"/>
      <c r="K19" s="5"/>
      <c r="L19" s="5"/>
      <c r="M19" s="5"/>
      <c r="N19" s="5"/>
      <c r="O19" s="5"/>
    </row>
    <row r="20" spans="1:15" ht="24.75" thickBot="1" x14ac:dyDescent="0.3">
      <c r="B20" s="975"/>
      <c r="C20" s="2" t="s">
        <v>767</v>
      </c>
      <c r="D20" s="40" t="s">
        <v>1755</v>
      </c>
      <c r="E20" s="146"/>
      <c r="F20" s="146">
        <v>3263</v>
      </c>
      <c r="G20" s="146"/>
      <c r="H20" s="115"/>
      <c r="I20" s="5"/>
      <c r="J20" s="5"/>
      <c r="K20" s="5"/>
      <c r="L20" s="5"/>
      <c r="M20" s="5"/>
      <c r="N20" s="5"/>
      <c r="O20" s="5"/>
    </row>
    <row r="21" spans="1:15" ht="24.75" thickBot="1" x14ac:dyDescent="0.3">
      <c r="B21" s="975"/>
      <c r="C21" s="2" t="s">
        <v>769</v>
      </c>
      <c r="D21" s="40" t="s">
        <v>1756</v>
      </c>
      <c r="E21" s="147" t="str">
        <f>IFERROR(E19/E20,"N.A")</f>
        <v>N.A</v>
      </c>
      <c r="F21" s="147">
        <f>IFERROR(F19/F20,"N.A")</f>
        <v>0.89733374195525595</v>
      </c>
      <c r="G21" s="147" t="str">
        <f>IFERROR(G19/G20,"N.A")</f>
        <v>N.A</v>
      </c>
      <c r="H21" s="116"/>
      <c r="I21" s="5"/>
      <c r="J21" s="5"/>
      <c r="K21" s="5"/>
      <c r="L21" s="5"/>
      <c r="M21" s="5"/>
      <c r="N21" s="5"/>
      <c r="O21" s="5"/>
    </row>
    <row r="22" spans="1:15" x14ac:dyDescent="0.25">
      <c r="B22" s="975"/>
      <c r="C22" s="92"/>
      <c r="D22" s="956"/>
      <c r="E22" s="957"/>
      <c r="F22" s="957"/>
      <c r="G22" s="957"/>
      <c r="H22" s="958"/>
      <c r="I22" s="5"/>
      <c r="J22" s="5"/>
      <c r="K22" s="5"/>
      <c r="L22" s="5"/>
      <c r="M22" s="5"/>
      <c r="N22" s="5"/>
      <c r="O22" s="5"/>
    </row>
    <row r="23" spans="1:15" ht="24" customHeight="1" thickBot="1" x14ac:dyDescent="0.3">
      <c r="B23" s="975"/>
      <c r="C23" s="92"/>
      <c r="D23" s="959" t="s">
        <v>1757</v>
      </c>
      <c r="E23" s="960"/>
      <c r="F23" s="960"/>
      <c r="G23" s="960"/>
      <c r="H23" s="961"/>
      <c r="I23" s="5"/>
      <c r="J23" s="5"/>
      <c r="K23" s="5"/>
      <c r="L23" s="5"/>
      <c r="M23" s="5"/>
      <c r="N23" s="5"/>
      <c r="O23" s="5"/>
    </row>
    <row r="24" spans="1:15" ht="15.75" thickBot="1" x14ac:dyDescent="0.3">
      <c r="B24" s="975"/>
      <c r="C24" s="98" t="s">
        <v>585</v>
      </c>
      <c r="D24" s="38" t="s">
        <v>1750</v>
      </c>
      <c r="E24" s="38" t="s">
        <v>1758</v>
      </c>
      <c r="F24" s="38" t="s">
        <v>1759</v>
      </c>
      <c r="H24" s="21"/>
      <c r="I24" s="5"/>
      <c r="J24" s="5"/>
      <c r="K24" s="5"/>
      <c r="L24" s="5"/>
      <c r="M24" s="5"/>
      <c r="N24" s="5"/>
      <c r="O24" s="5"/>
    </row>
    <row r="25" spans="1:15" ht="24.75" thickBot="1" x14ac:dyDescent="0.3">
      <c r="B25" s="975"/>
      <c r="C25" s="2" t="s">
        <v>765</v>
      </c>
      <c r="D25" s="40" t="s">
        <v>1760</v>
      </c>
      <c r="E25" s="818">
        <v>710</v>
      </c>
      <c r="F25" s="818">
        <v>45</v>
      </c>
      <c r="H25" s="21"/>
      <c r="I25" s="5"/>
      <c r="J25" s="5"/>
      <c r="K25" s="5"/>
      <c r="L25" s="5"/>
      <c r="M25" s="5"/>
      <c r="N25" s="5"/>
      <c r="O25" s="5"/>
    </row>
    <row r="26" spans="1:15" ht="24.75" thickBot="1" x14ac:dyDescent="0.3">
      <c r="B26" s="975"/>
      <c r="C26" s="2" t="s">
        <v>767</v>
      </c>
      <c r="D26" s="40" t="s">
        <v>1761</v>
      </c>
      <c r="E26" s="818">
        <v>710</v>
      </c>
      <c r="F26" s="818">
        <v>45</v>
      </c>
      <c r="H26" s="21"/>
      <c r="I26" s="5"/>
      <c r="J26" s="5"/>
      <c r="K26" s="5"/>
      <c r="L26" s="5"/>
      <c r="M26" s="5"/>
      <c r="N26" s="5"/>
      <c r="O26" s="5"/>
    </row>
    <row r="27" spans="1:15" ht="24.75" thickBot="1" x14ac:dyDescent="0.3">
      <c r="B27" s="975"/>
      <c r="C27" s="2" t="s">
        <v>769</v>
      </c>
      <c r="D27" s="40" t="s">
        <v>1762</v>
      </c>
      <c r="E27" s="147">
        <f>IFERROR(E25/E26,"N.A.")</f>
        <v>1</v>
      </c>
      <c r="F27" s="147">
        <f>IFERROR(F25/F26,"N.A.")</f>
        <v>1</v>
      </c>
      <c r="H27" s="21"/>
      <c r="I27" s="5"/>
      <c r="J27" s="5" t="s">
        <v>1457</v>
      </c>
      <c r="K27" s="5"/>
    </row>
    <row r="28" spans="1:15" ht="15.75" thickBot="1" x14ac:dyDescent="0.3">
      <c r="B28" s="976"/>
      <c r="C28" s="2"/>
      <c r="D28" s="125"/>
      <c r="E28" s="125"/>
      <c r="F28" s="125"/>
      <c r="G28" s="125"/>
      <c r="H28" s="23"/>
      <c r="I28" s="5"/>
      <c r="J28" s="5"/>
      <c r="K28" s="5"/>
    </row>
    <row r="29" spans="1:15" ht="15.75" thickBot="1" x14ac:dyDescent="0.3">
      <c r="A29" s="5"/>
      <c r="B29" s="5"/>
      <c r="C29" s="5"/>
      <c r="D29" s="5"/>
      <c r="E29" s="5"/>
      <c r="F29" s="5"/>
      <c r="G29" s="5"/>
      <c r="H29" s="5"/>
      <c r="I29" s="5"/>
      <c r="J29" s="5"/>
      <c r="K29" s="5"/>
    </row>
    <row r="30" spans="1:15" ht="25.7" customHeight="1" thickBot="1" x14ac:dyDescent="0.3">
      <c r="A30" s="5"/>
      <c r="B30" s="5"/>
      <c r="C30" s="5"/>
      <c r="D30" s="52" t="s">
        <v>1763</v>
      </c>
      <c r="E30" s="147">
        <f>AVERAGE(E21:G21,E27:F27)</f>
        <v>0.96577791398508539</v>
      </c>
      <c r="F30" s="306"/>
      <c r="G30" s="306"/>
      <c r="H30" s="64"/>
      <c r="I30" s="5"/>
      <c r="J30" s="5"/>
      <c r="K30" s="5"/>
    </row>
    <row r="31" spans="1:15" x14ac:dyDescent="0.25">
      <c r="A31" s="5"/>
      <c r="B31" s="5"/>
      <c r="C31" s="5"/>
      <c r="D31" s="5"/>
      <c r="E31" s="5"/>
      <c r="F31" s="5"/>
      <c r="G31" s="5"/>
      <c r="H31" s="5"/>
      <c r="I31" s="5"/>
      <c r="J31" s="5"/>
      <c r="K31" s="5"/>
    </row>
    <row r="32" spans="1:15" ht="15.75" thickBot="1" x14ac:dyDescent="0.3">
      <c r="A32" s="5"/>
      <c r="B32" s="5"/>
      <c r="C32" s="5"/>
      <c r="D32" s="5"/>
      <c r="E32" s="5"/>
      <c r="F32" s="5"/>
      <c r="G32" s="5"/>
      <c r="H32" s="5"/>
      <c r="I32" s="5"/>
      <c r="J32" s="5"/>
      <c r="K32" s="5"/>
    </row>
    <row r="33" spans="2:11" ht="36" customHeight="1" thickBot="1" x14ac:dyDescent="0.3">
      <c r="B33" s="52" t="s">
        <v>671</v>
      </c>
      <c r="C33" s="233"/>
      <c r="D33" s="983" t="s">
        <v>1764</v>
      </c>
      <c r="E33" s="984"/>
      <c r="F33" s="984"/>
      <c r="G33" s="984"/>
      <c r="H33" s="985"/>
      <c r="I33" s="5"/>
      <c r="J33" s="5"/>
      <c r="K33" s="5"/>
    </row>
    <row r="34" spans="2:11" ht="48" customHeight="1" thickBot="1" x14ac:dyDescent="0.3">
      <c r="B34" s="47" t="s">
        <v>673</v>
      </c>
      <c r="C34" s="93"/>
      <c r="D34" s="983" t="s">
        <v>1765</v>
      </c>
      <c r="E34" s="984"/>
      <c r="F34" s="984"/>
      <c r="G34" s="984"/>
      <c r="H34" s="985"/>
      <c r="I34" s="5"/>
      <c r="J34" s="5"/>
      <c r="K34" s="5"/>
    </row>
    <row r="35" spans="2:11" ht="15.75" thickBot="1" x14ac:dyDescent="0.3">
      <c r="B35" s="1"/>
      <c r="C35" s="76"/>
      <c r="D35" s="5"/>
      <c r="E35" s="5"/>
      <c r="F35" s="5"/>
      <c r="G35" s="5"/>
      <c r="H35" s="5"/>
      <c r="I35" s="5"/>
      <c r="J35" s="5"/>
      <c r="K35" s="5"/>
    </row>
    <row r="36" spans="2:11" ht="24" customHeight="1" thickBot="1" x14ac:dyDescent="0.3">
      <c r="B36" s="971" t="s">
        <v>675</v>
      </c>
      <c r="C36" s="972"/>
      <c r="D36" s="972"/>
      <c r="E36" s="973"/>
      <c r="F36" s="5"/>
      <c r="G36" s="5"/>
      <c r="H36" s="5"/>
      <c r="I36" s="5"/>
      <c r="J36" s="5"/>
      <c r="K36" s="5"/>
    </row>
    <row r="37" spans="2:11" ht="48.75" thickBot="1" x14ac:dyDescent="0.3">
      <c r="B37" s="974">
        <v>1</v>
      </c>
      <c r="C37" s="94"/>
      <c r="D37" s="48" t="s">
        <v>676</v>
      </c>
      <c r="E37" s="337" t="s">
        <v>2301</v>
      </c>
      <c r="F37" s="5"/>
      <c r="G37" s="5"/>
      <c r="H37" s="5"/>
      <c r="I37" s="5"/>
      <c r="J37" s="5"/>
      <c r="K37" s="5"/>
    </row>
    <row r="38" spans="2:11" ht="48.75" thickBot="1" x14ac:dyDescent="0.3">
      <c r="B38" s="975"/>
      <c r="C38" s="94"/>
      <c r="D38" s="40" t="s">
        <v>525</v>
      </c>
      <c r="E38" s="337" t="s">
        <v>2311</v>
      </c>
      <c r="F38" s="5"/>
      <c r="G38" s="5"/>
      <c r="H38" s="5"/>
      <c r="I38" s="5"/>
      <c r="J38" s="5"/>
      <c r="K38" s="5"/>
    </row>
    <row r="39" spans="2:11" ht="36.75" thickBot="1" x14ac:dyDescent="0.3">
      <c r="B39" s="975"/>
      <c r="C39" s="94"/>
      <c r="D39" s="40" t="s">
        <v>677</v>
      </c>
      <c r="E39" s="337" t="s">
        <v>2303</v>
      </c>
      <c r="F39" s="5"/>
      <c r="G39" s="5"/>
      <c r="H39" s="5"/>
      <c r="I39" s="5"/>
      <c r="J39" s="5"/>
      <c r="K39" s="5"/>
    </row>
    <row r="40" spans="2:11" ht="15.75" thickBot="1" x14ac:dyDescent="0.3">
      <c r="B40" s="975"/>
      <c r="C40" s="94"/>
      <c r="D40" s="40" t="s">
        <v>527</v>
      </c>
      <c r="E40" s="337" t="s">
        <v>2304</v>
      </c>
      <c r="F40" s="5"/>
      <c r="G40" s="5"/>
      <c r="H40" s="5"/>
      <c r="I40" s="5"/>
      <c r="J40" s="5"/>
      <c r="K40" s="5"/>
    </row>
    <row r="41" spans="2:11" ht="60.75" thickBot="1" x14ac:dyDescent="0.3">
      <c r="B41" s="975"/>
      <c r="C41" s="94"/>
      <c r="D41" s="40" t="s">
        <v>529</v>
      </c>
      <c r="E41" s="766" t="s">
        <v>2309</v>
      </c>
      <c r="F41" s="5"/>
      <c r="G41" s="5"/>
      <c r="H41" s="5"/>
      <c r="I41" s="5"/>
      <c r="J41" s="5"/>
      <c r="K41" s="5"/>
    </row>
    <row r="42" spans="2:11" ht="15.75" thickBot="1" x14ac:dyDescent="0.3">
      <c r="B42" s="975"/>
      <c r="C42" s="94"/>
      <c r="D42" s="40" t="s">
        <v>531</v>
      </c>
      <c r="E42" s="337">
        <v>5748960</v>
      </c>
      <c r="F42" s="5"/>
      <c r="G42" s="5"/>
      <c r="H42" s="5"/>
      <c r="I42" s="5"/>
      <c r="J42" s="5"/>
      <c r="K42" s="5"/>
    </row>
    <row r="43" spans="2:11" ht="60.75" thickBot="1" x14ac:dyDescent="0.3">
      <c r="B43" s="976"/>
      <c r="C43" s="2"/>
      <c r="D43" s="40" t="s">
        <v>678</v>
      </c>
      <c r="E43" s="337" t="s">
        <v>2312</v>
      </c>
      <c r="F43" s="5"/>
      <c r="G43" s="5"/>
      <c r="H43" s="5"/>
      <c r="I43" s="5"/>
      <c r="J43" s="5"/>
      <c r="K43" s="5"/>
    </row>
    <row r="44" spans="2:11" ht="15.75" thickBot="1" x14ac:dyDescent="0.3">
      <c r="B44" s="1"/>
      <c r="C44" s="76"/>
      <c r="D44" s="5"/>
      <c r="E44" s="5"/>
      <c r="F44" s="5"/>
      <c r="G44" s="5"/>
      <c r="H44" s="5"/>
      <c r="I44" s="5"/>
      <c r="J44" s="5"/>
      <c r="K44" s="5"/>
    </row>
    <row r="45" spans="2:11" ht="15.75" thickBot="1" x14ac:dyDescent="0.3">
      <c r="B45" s="971" t="s">
        <v>679</v>
      </c>
      <c r="C45" s="972"/>
      <c r="D45" s="972"/>
      <c r="E45" s="973"/>
      <c r="F45" s="5"/>
      <c r="G45" s="5"/>
      <c r="H45" s="5"/>
      <c r="I45" s="5"/>
      <c r="J45" s="5"/>
      <c r="K45" s="5"/>
    </row>
    <row r="46" spans="2:11" ht="60.75" thickBot="1" x14ac:dyDescent="0.3">
      <c r="B46" s="974">
        <v>1</v>
      </c>
      <c r="C46" s="94"/>
      <c r="D46" s="48" t="s">
        <v>676</v>
      </c>
      <c r="E46" s="40" t="s">
        <v>680</v>
      </c>
      <c r="F46" s="5"/>
      <c r="G46" s="5"/>
      <c r="H46" s="5"/>
      <c r="I46" s="5"/>
      <c r="J46" s="5"/>
      <c r="K46" s="5"/>
    </row>
    <row r="47" spans="2:11" ht="84.75" thickBot="1" x14ac:dyDescent="0.3">
      <c r="B47" s="975"/>
      <c r="C47" s="94"/>
      <c r="D47" s="40" t="s">
        <v>525</v>
      </c>
      <c r="E47" s="40" t="s">
        <v>773</v>
      </c>
      <c r="F47" s="5"/>
      <c r="G47" s="5"/>
      <c r="H47" s="5"/>
      <c r="I47" s="5"/>
      <c r="J47" s="5"/>
      <c r="K47" s="5"/>
    </row>
    <row r="48" spans="2:11" ht="15.75" thickBot="1" x14ac:dyDescent="0.3">
      <c r="B48" s="975"/>
      <c r="C48" s="94"/>
      <c r="D48" s="40" t="s">
        <v>677</v>
      </c>
      <c r="E48" s="165"/>
      <c r="F48" s="5"/>
      <c r="G48" s="5"/>
      <c r="H48" s="5"/>
      <c r="I48" s="5"/>
      <c r="J48" s="5"/>
      <c r="K48" s="5"/>
    </row>
    <row r="49" spans="2:11" ht="15.75" thickBot="1" x14ac:dyDescent="0.3">
      <c r="B49" s="975"/>
      <c r="C49" s="94"/>
      <c r="D49" s="40" t="s">
        <v>527</v>
      </c>
      <c r="E49" s="165"/>
      <c r="F49" s="5"/>
      <c r="G49" s="5"/>
      <c r="H49" s="5"/>
      <c r="I49" s="5"/>
      <c r="J49" s="5"/>
      <c r="K49" s="5"/>
    </row>
    <row r="50" spans="2:11" ht="15.75" thickBot="1" x14ac:dyDescent="0.3">
      <c r="B50" s="975"/>
      <c r="C50" s="94"/>
      <c r="D50" s="40" t="s">
        <v>529</v>
      </c>
      <c r="E50" s="165"/>
      <c r="F50" s="5"/>
      <c r="G50" s="5"/>
      <c r="H50" s="5"/>
      <c r="I50" s="5"/>
      <c r="J50" s="5"/>
      <c r="K50" s="5"/>
    </row>
    <row r="51" spans="2:11" ht="15.75" thickBot="1" x14ac:dyDescent="0.3">
      <c r="B51" s="975"/>
      <c r="C51" s="94"/>
      <c r="D51" s="40" t="s">
        <v>531</v>
      </c>
      <c r="E51" s="165"/>
      <c r="F51" s="5"/>
      <c r="G51" s="5"/>
      <c r="H51" s="5"/>
      <c r="I51" s="5"/>
      <c r="J51" s="5"/>
      <c r="K51" s="5"/>
    </row>
    <row r="52" spans="2:11" ht="15.75" thickBot="1" x14ac:dyDescent="0.3">
      <c r="B52" s="976"/>
      <c r="C52" s="2"/>
      <c r="D52" s="40" t="s">
        <v>678</v>
      </c>
      <c r="E52" s="165"/>
      <c r="F52" s="5"/>
      <c r="G52" s="5"/>
      <c r="H52" s="5"/>
      <c r="I52" s="5"/>
      <c r="J52" s="5"/>
      <c r="K52" s="5"/>
    </row>
    <row r="53" spans="2:11" ht="15.75" thickBot="1" x14ac:dyDescent="0.3">
      <c r="B53" s="1"/>
      <c r="C53" s="76"/>
      <c r="D53" s="5"/>
      <c r="E53" s="5"/>
      <c r="F53" s="5"/>
      <c r="G53" s="5"/>
      <c r="H53" s="5"/>
      <c r="I53" s="5"/>
      <c r="J53" s="5"/>
      <c r="K53" s="5"/>
    </row>
    <row r="54" spans="2:11" ht="15" customHeight="1" thickBot="1" x14ac:dyDescent="0.3">
      <c r="B54" s="122" t="s">
        <v>682</v>
      </c>
      <c r="C54" s="123"/>
      <c r="D54" s="123"/>
      <c r="E54" s="124"/>
      <c r="G54" s="5"/>
      <c r="H54" s="5"/>
      <c r="I54" s="5"/>
      <c r="J54" s="5"/>
      <c r="K54" s="5"/>
    </row>
    <row r="55" spans="2:11" ht="24.75" thickBot="1" x14ac:dyDescent="0.3">
      <c r="B55" s="47" t="s">
        <v>683</v>
      </c>
      <c r="C55" s="40" t="s">
        <v>684</v>
      </c>
      <c r="D55" s="40" t="s">
        <v>685</v>
      </c>
      <c r="E55" s="40" t="s">
        <v>686</v>
      </c>
      <c r="F55" s="5"/>
      <c r="G55" s="5"/>
      <c r="H55" s="5"/>
      <c r="I55" s="5"/>
      <c r="J55" s="5"/>
    </row>
    <row r="56" spans="2:11" ht="60.75" thickBot="1" x14ac:dyDescent="0.3">
      <c r="B56" s="49">
        <v>42401</v>
      </c>
      <c r="C56" s="40">
        <v>0.01</v>
      </c>
      <c r="D56" s="50" t="s">
        <v>1766</v>
      </c>
      <c r="E56" s="40"/>
      <c r="F56" s="5"/>
      <c r="G56" s="5"/>
      <c r="H56" s="5"/>
      <c r="I56" s="5"/>
      <c r="J56" s="5"/>
    </row>
    <row r="57" spans="2:11" ht="15.75" thickBot="1" x14ac:dyDescent="0.3">
      <c r="B57" s="3"/>
      <c r="C57" s="95"/>
      <c r="D57" s="5"/>
      <c r="E57" s="5"/>
      <c r="F57" s="5"/>
      <c r="G57" s="5"/>
      <c r="H57" s="5"/>
      <c r="I57" s="5"/>
      <c r="J57" s="5"/>
      <c r="K57" s="5"/>
    </row>
    <row r="58" spans="2:11" ht="15.75" thickBot="1" x14ac:dyDescent="0.3">
      <c r="B58" s="129" t="s">
        <v>593</v>
      </c>
      <c r="C58" s="96"/>
      <c r="D58" s="5"/>
      <c r="E58" s="5"/>
      <c r="F58" s="5"/>
      <c r="G58" s="5"/>
      <c r="H58" s="5"/>
      <c r="I58" s="5"/>
      <c r="J58" s="5"/>
      <c r="K58" s="5"/>
    </row>
    <row r="59" spans="2:11" x14ac:dyDescent="0.25">
      <c r="B59" s="1110"/>
      <c r="C59" s="1111"/>
      <c r="D59" s="1111"/>
      <c r="E59" s="1112"/>
      <c r="F59" s="5"/>
      <c r="G59" s="5"/>
      <c r="H59" s="5"/>
      <c r="I59" s="5"/>
      <c r="J59" s="5"/>
      <c r="K59" s="5"/>
    </row>
    <row r="60" spans="2:11" ht="15.75" thickBot="1" x14ac:dyDescent="0.3">
      <c r="B60" s="1113"/>
      <c r="C60" s="1114"/>
      <c r="D60" s="1114"/>
      <c r="E60" s="1115"/>
      <c r="F60" s="5"/>
      <c r="G60" s="5"/>
      <c r="H60" s="5"/>
      <c r="I60" s="5"/>
      <c r="J60" s="5"/>
      <c r="K60" s="5"/>
    </row>
    <row r="61" spans="2:11" ht="15.75" thickBot="1" x14ac:dyDescent="0.3">
      <c r="B61" s="5"/>
      <c r="D61" s="5"/>
      <c r="E61" s="5"/>
      <c r="F61" s="5"/>
      <c r="G61" s="5"/>
      <c r="H61" s="5"/>
      <c r="I61" s="5"/>
      <c r="J61" s="5"/>
      <c r="K61" s="5"/>
    </row>
    <row r="62" spans="2:11" ht="24.75" thickBot="1" x14ac:dyDescent="0.3">
      <c r="B62" s="51" t="s">
        <v>688</v>
      </c>
      <c r="C62" s="97"/>
      <c r="D62" s="5"/>
      <c r="E62" s="5"/>
      <c r="F62" s="5"/>
      <c r="G62" s="5"/>
      <c r="H62" s="5"/>
      <c r="I62" s="5"/>
      <c r="J62" s="5"/>
      <c r="K62" s="5"/>
    </row>
    <row r="63" spans="2:11" ht="15.75" thickBot="1" x14ac:dyDescent="0.3">
      <c r="B63" s="1"/>
      <c r="C63" s="76"/>
      <c r="D63" s="5"/>
      <c r="E63" s="5"/>
      <c r="F63" s="5"/>
      <c r="G63" s="5"/>
      <c r="H63" s="5"/>
      <c r="I63" s="5"/>
      <c r="J63" s="5"/>
      <c r="K63" s="5"/>
    </row>
    <row r="64" spans="2:11" ht="60.75" thickBot="1" x14ac:dyDescent="0.3">
      <c r="B64" s="52" t="s">
        <v>689</v>
      </c>
      <c r="C64" s="98"/>
      <c r="D64" s="43" t="s">
        <v>1767</v>
      </c>
      <c r="E64" s="5"/>
      <c r="F64" s="5"/>
      <c r="G64" s="5"/>
      <c r="H64" s="5"/>
      <c r="I64" s="5"/>
      <c r="J64" s="5"/>
      <c r="K64" s="5"/>
    </row>
    <row r="65" spans="2:11" x14ac:dyDescent="0.25">
      <c r="B65" s="974" t="s">
        <v>691</v>
      </c>
      <c r="C65" s="94"/>
      <c r="D65" s="53" t="s">
        <v>692</v>
      </c>
      <c r="E65" s="5"/>
      <c r="F65" s="5"/>
      <c r="G65" s="5"/>
      <c r="H65" s="5"/>
      <c r="I65" s="5"/>
      <c r="J65" s="5"/>
      <c r="K65" s="5"/>
    </row>
    <row r="66" spans="2:11" ht="48" x14ac:dyDescent="0.25">
      <c r="B66" s="975"/>
      <c r="C66" s="94"/>
      <c r="D66" s="46" t="s">
        <v>1768</v>
      </c>
      <c r="E66" s="5"/>
      <c r="F66" s="5"/>
      <c r="G66" s="5"/>
      <c r="H66" s="5"/>
      <c r="I66" s="5"/>
      <c r="J66" s="5"/>
      <c r="K66" s="5"/>
    </row>
    <row r="67" spans="2:11" x14ac:dyDescent="0.25">
      <c r="B67" s="975"/>
      <c r="C67" s="94"/>
      <c r="D67" s="53" t="s">
        <v>777</v>
      </c>
      <c r="E67" s="5"/>
      <c r="F67" s="5"/>
      <c r="G67" s="5"/>
      <c r="H67" s="5"/>
      <c r="I67" s="5"/>
      <c r="J67" s="5"/>
      <c r="K67" s="5"/>
    </row>
    <row r="68" spans="2:11" x14ac:dyDescent="0.25">
      <c r="B68" s="975"/>
      <c r="C68" s="94"/>
      <c r="D68" s="46" t="s">
        <v>697</v>
      </c>
      <c r="E68" s="5"/>
      <c r="F68" s="5"/>
      <c r="G68" s="5"/>
      <c r="H68" s="5"/>
      <c r="I68" s="5"/>
      <c r="J68" s="5"/>
      <c r="K68" s="5"/>
    </row>
    <row r="69" spans="2:11" x14ac:dyDescent="0.25">
      <c r="B69" s="975"/>
      <c r="C69" s="94"/>
      <c r="D69" s="46" t="s">
        <v>1732</v>
      </c>
      <c r="E69" s="5"/>
      <c r="F69" s="5"/>
      <c r="G69" s="5"/>
      <c r="H69" s="5"/>
      <c r="I69" s="5"/>
      <c r="J69" s="5"/>
      <c r="K69" s="5"/>
    </row>
    <row r="70" spans="2:11" ht="48" x14ac:dyDescent="0.25">
      <c r="B70" s="975"/>
      <c r="C70" s="94"/>
      <c r="D70" s="46" t="s">
        <v>1733</v>
      </c>
      <c r="E70" s="5"/>
      <c r="F70" s="5"/>
      <c r="G70" s="5"/>
      <c r="H70" s="5"/>
      <c r="I70" s="5"/>
      <c r="J70" s="5"/>
      <c r="K70" s="5"/>
    </row>
    <row r="71" spans="2:11" ht="24" x14ac:dyDescent="0.25">
      <c r="B71" s="975"/>
      <c r="C71" s="94"/>
      <c r="D71" s="46" t="s">
        <v>1769</v>
      </c>
      <c r="E71" s="5"/>
      <c r="F71" s="5"/>
      <c r="G71" s="5"/>
      <c r="H71" s="5"/>
      <c r="I71" s="5"/>
      <c r="J71" s="5"/>
      <c r="K71" s="5"/>
    </row>
    <row r="72" spans="2:11" x14ac:dyDescent="0.25">
      <c r="B72" s="975"/>
      <c r="C72" s="94"/>
      <c r="D72" s="46" t="s">
        <v>1770</v>
      </c>
      <c r="E72" s="5"/>
      <c r="F72" s="5"/>
      <c r="G72" s="5"/>
      <c r="H72" s="5"/>
      <c r="I72" s="5"/>
      <c r="J72" s="5"/>
      <c r="K72" s="5"/>
    </row>
    <row r="73" spans="2:11" x14ac:dyDescent="0.25">
      <c r="B73" s="975"/>
      <c r="C73" s="94"/>
      <c r="D73" s="53" t="s">
        <v>1771</v>
      </c>
      <c r="E73" s="5"/>
      <c r="F73" s="5"/>
      <c r="G73" s="5"/>
      <c r="H73" s="5"/>
      <c r="I73" s="5"/>
      <c r="J73" s="5"/>
      <c r="K73" s="5"/>
    </row>
    <row r="74" spans="2:11" ht="60" x14ac:dyDescent="0.25">
      <c r="B74" s="975"/>
      <c r="C74" s="94"/>
      <c r="D74" s="46" t="s">
        <v>1772</v>
      </c>
      <c r="E74" s="5"/>
      <c r="F74" s="5"/>
      <c r="G74" s="5"/>
      <c r="H74" s="5"/>
      <c r="I74" s="5"/>
      <c r="J74" s="5"/>
      <c r="K74" s="5"/>
    </row>
    <row r="75" spans="2:11" x14ac:dyDescent="0.25">
      <c r="B75" s="975"/>
      <c r="C75" s="94"/>
      <c r="D75" s="55" t="s">
        <v>1734</v>
      </c>
      <c r="E75" s="5"/>
      <c r="F75" s="5"/>
      <c r="G75" s="5"/>
      <c r="H75" s="5"/>
      <c r="I75" s="5"/>
      <c r="J75" s="5"/>
      <c r="K75" s="5"/>
    </row>
    <row r="76" spans="2:11" ht="15.75" thickBot="1" x14ac:dyDescent="0.3">
      <c r="B76" s="976"/>
      <c r="C76" s="2"/>
      <c r="D76" s="56" t="s">
        <v>1735</v>
      </c>
      <c r="E76" s="5"/>
      <c r="F76" s="5"/>
      <c r="G76" s="5"/>
      <c r="H76" s="5"/>
      <c r="I76" s="5"/>
      <c r="J76" s="5"/>
      <c r="K76" s="5"/>
    </row>
    <row r="77" spans="2:11" ht="24.75" thickBot="1" x14ac:dyDescent="0.3">
      <c r="B77" s="47" t="s">
        <v>704</v>
      </c>
      <c r="C77" s="2"/>
      <c r="D77" s="40" t="s">
        <v>1773</v>
      </c>
      <c r="E77" s="5"/>
      <c r="F77" s="5"/>
      <c r="G77" s="5"/>
      <c r="H77" s="5"/>
      <c r="I77" s="5"/>
      <c r="J77" s="5"/>
      <c r="K77" s="5"/>
    </row>
    <row r="78" spans="2:11" ht="108" x14ac:dyDescent="0.25">
      <c r="B78" s="974" t="s">
        <v>705</v>
      </c>
      <c r="C78" s="94"/>
      <c r="D78" s="46" t="s">
        <v>1774</v>
      </c>
      <c r="E78" s="5"/>
      <c r="F78" s="5"/>
      <c r="G78" s="5"/>
      <c r="H78" s="5"/>
      <c r="I78" s="5"/>
      <c r="J78" s="5"/>
      <c r="K78" s="5"/>
    </row>
    <row r="79" spans="2:11" ht="204" x14ac:dyDescent="0.25">
      <c r="B79" s="975"/>
      <c r="C79" s="94"/>
      <c r="D79" s="46" t="s">
        <v>1775</v>
      </c>
      <c r="E79" s="5"/>
      <c r="F79" s="5"/>
      <c r="G79" s="5"/>
      <c r="H79" s="5"/>
      <c r="I79" s="5"/>
      <c r="J79" s="5"/>
      <c r="K79" s="5"/>
    </row>
    <row r="80" spans="2:11" ht="240" x14ac:dyDescent="0.25">
      <c r="B80" s="975"/>
      <c r="C80" s="94"/>
      <c r="D80" s="46" t="s">
        <v>1776</v>
      </c>
      <c r="E80" s="5"/>
      <c r="F80" s="5"/>
      <c r="G80" s="5"/>
      <c r="H80" s="5"/>
      <c r="I80" s="5"/>
      <c r="J80" s="5"/>
      <c r="K80" s="5"/>
    </row>
    <row r="81" spans="2:11" ht="84" x14ac:dyDescent="0.25">
      <c r="B81" s="975"/>
      <c r="C81" s="94"/>
      <c r="D81" s="46" t="s">
        <v>1777</v>
      </c>
      <c r="E81" s="5"/>
      <c r="F81" s="5"/>
      <c r="G81" s="5"/>
      <c r="H81" s="5"/>
      <c r="I81" s="5"/>
      <c r="J81" s="5"/>
      <c r="K81" s="5"/>
    </row>
    <row r="82" spans="2:11" ht="216" x14ac:dyDescent="0.25">
      <c r="B82" s="975"/>
      <c r="C82" s="94"/>
      <c r="D82" s="46" t="s">
        <v>1739</v>
      </c>
      <c r="E82" s="5"/>
      <c r="F82" s="5"/>
      <c r="G82" s="5"/>
      <c r="H82" s="5"/>
      <c r="I82" s="5"/>
      <c r="J82" s="5"/>
      <c r="K82" s="5"/>
    </row>
    <row r="83" spans="2:11" ht="180" x14ac:dyDescent="0.25">
      <c r="B83" s="975"/>
      <c r="C83" s="94"/>
      <c r="D83" s="46" t="s">
        <v>1778</v>
      </c>
      <c r="E83" s="5"/>
      <c r="F83" s="5"/>
      <c r="G83" s="5"/>
      <c r="H83" s="5"/>
      <c r="I83" s="5"/>
      <c r="J83" s="5"/>
      <c r="K83" s="5"/>
    </row>
    <row r="84" spans="2:11" ht="132.75" thickBot="1" x14ac:dyDescent="0.3">
      <c r="B84" s="976"/>
      <c r="C84" s="2"/>
      <c r="D84" s="40" t="s">
        <v>1779</v>
      </c>
      <c r="E84" s="5"/>
      <c r="F84" s="5"/>
      <c r="G84" s="5"/>
      <c r="H84" s="5"/>
      <c r="I84" s="5"/>
      <c r="J84" s="5"/>
      <c r="K84" s="5"/>
    </row>
    <row r="85" spans="2:11" ht="24" x14ac:dyDescent="0.25">
      <c r="B85" s="974" t="s">
        <v>722</v>
      </c>
      <c r="C85" s="94"/>
      <c r="D85" s="57" t="s">
        <v>1748</v>
      </c>
      <c r="E85" s="5"/>
      <c r="F85" s="5"/>
      <c r="G85" s="5"/>
      <c r="H85" s="5"/>
      <c r="I85" s="5"/>
      <c r="J85" s="5"/>
      <c r="K85" s="5"/>
    </row>
    <row r="86" spans="2:11" x14ac:dyDescent="0.25">
      <c r="B86" s="975"/>
      <c r="C86" s="94"/>
      <c r="D86" s="16"/>
      <c r="E86" s="5"/>
      <c r="F86" s="5"/>
      <c r="G86" s="5"/>
      <c r="H86" s="5"/>
      <c r="I86" s="5"/>
      <c r="J86" s="5"/>
      <c r="K86" s="5"/>
    </row>
    <row r="87" spans="2:11" x14ac:dyDescent="0.25">
      <c r="B87" s="975"/>
      <c r="C87" s="94"/>
      <c r="D87" s="46" t="s">
        <v>723</v>
      </c>
      <c r="E87" s="5"/>
      <c r="F87" s="5"/>
      <c r="G87" s="5"/>
      <c r="H87" s="5"/>
      <c r="I87" s="5"/>
      <c r="J87" s="5"/>
      <c r="K87" s="5"/>
    </row>
    <row r="88" spans="2:11" ht="37.5" x14ac:dyDescent="0.25">
      <c r="B88" s="975"/>
      <c r="C88" s="94"/>
      <c r="D88" s="46" t="s">
        <v>1780</v>
      </c>
      <c r="E88" s="5"/>
      <c r="F88" s="5"/>
      <c r="G88" s="5"/>
      <c r="H88" s="5"/>
      <c r="I88" s="5"/>
      <c r="J88" s="5"/>
      <c r="K88" s="5"/>
    </row>
    <row r="89" spans="2:11" ht="37.5" x14ac:dyDescent="0.25">
      <c r="B89" s="975"/>
      <c r="C89" s="94"/>
      <c r="D89" s="46" t="s">
        <v>1781</v>
      </c>
      <c r="E89" s="5"/>
      <c r="F89" s="5"/>
      <c r="G89" s="5"/>
      <c r="H89" s="5"/>
      <c r="I89" s="5"/>
      <c r="J89" s="5"/>
      <c r="K89" s="5"/>
    </row>
    <row r="90" spans="2:11" x14ac:dyDescent="0.25">
      <c r="B90" s="975"/>
      <c r="C90" s="94"/>
      <c r="D90" s="46" t="s">
        <v>1782</v>
      </c>
      <c r="E90" s="5"/>
      <c r="F90" s="5"/>
      <c r="G90" s="5"/>
      <c r="H90" s="5"/>
      <c r="I90" s="5"/>
      <c r="J90" s="5"/>
      <c r="K90" s="5"/>
    </row>
    <row r="91" spans="2:11" ht="49.5" x14ac:dyDescent="0.25">
      <c r="B91" s="975"/>
      <c r="C91" s="94"/>
      <c r="D91" s="46" t="s">
        <v>1783</v>
      </c>
      <c r="E91" s="5"/>
      <c r="F91" s="5"/>
      <c r="G91" s="5"/>
      <c r="H91" s="5"/>
      <c r="I91" s="5"/>
      <c r="J91" s="5"/>
      <c r="K91" s="5"/>
    </row>
    <row r="92" spans="2:11" ht="60" x14ac:dyDescent="0.25">
      <c r="B92" s="975"/>
      <c r="C92" s="94"/>
      <c r="D92" s="46" t="s">
        <v>1784</v>
      </c>
      <c r="E92" s="5"/>
      <c r="F92" s="5"/>
      <c r="G92" s="5"/>
      <c r="H92" s="5"/>
      <c r="I92" s="5"/>
      <c r="J92" s="5"/>
      <c r="K92" s="5"/>
    </row>
    <row r="93" spans="2:11" ht="48" x14ac:dyDescent="0.25">
      <c r="B93" s="975"/>
      <c r="C93" s="94"/>
      <c r="D93" s="46" t="s">
        <v>1785</v>
      </c>
      <c r="E93" s="5"/>
      <c r="F93" s="5"/>
      <c r="G93" s="5"/>
      <c r="H93" s="5"/>
      <c r="I93" s="5"/>
      <c r="J93" s="5"/>
      <c r="K93" s="5"/>
    </row>
    <row r="94" spans="2:11" ht="24" x14ac:dyDescent="0.25">
      <c r="B94" s="975"/>
      <c r="C94" s="94"/>
      <c r="D94" s="53" t="s">
        <v>1786</v>
      </c>
      <c r="E94" s="5"/>
      <c r="F94" s="5"/>
      <c r="G94" s="5"/>
      <c r="H94" s="5"/>
      <c r="I94" s="5"/>
      <c r="J94" s="5"/>
      <c r="K94" s="5"/>
    </row>
    <row r="95" spans="2:11" x14ac:dyDescent="0.25">
      <c r="B95" s="975"/>
      <c r="C95" s="94"/>
      <c r="D95" s="16"/>
      <c r="E95" s="5"/>
      <c r="F95" s="5"/>
      <c r="G95" s="5"/>
      <c r="H95" s="5"/>
      <c r="I95" s="5"/>
      <c r="J95" s="5"/>
      <c r="K95" s="5"/>
    </row>
    <row r="96" spans="2:11" x14ac:dyDescent="0.25">
      <c r="B96" s="975"/>
      <c r="C96" s="94"/>
      <c r="D96" s="46" t="s">
        <v>723</v>
      </c>
      <c r="E96" s="5"/>
      <c r="F96" s="5"/>
      <c r="G96" s="5"/>
      <c r="H96" s="5"/>
      <c r="I96" s="5"/>
      <c r="J96" s="5"/>
      <c r="K96" s="5"/>
    </row>
    <row r="97" spans="2:11" ht="37.5" x14ac:dyDescent="0.25">
      <c r="B97" s="975"/>
      <c r="C97" s="94"/>
      <c r="D97" s="46" t="s">
        <v>1787</v>
      </c>
      <c r="E97" s="5"/>
      <c r="F97" s="5"/>
      <c r="G97" s="5"/>
      <c r="H97" s="5"/>
      <c r="I97" s="5"/>
      <c r="J97" s="5"/>
      <c r="K97" s="5"/>
    </row>
    <row r="98" spans="2:11" ht="25.5" x14ac:dyDescent="0.25">
      <c r="B98" s="975"/>
      <c r="C98" s="94"/>
      <c r="D98" s="46" t="s">
        <v>1788</v>
      </c>
      <c r="E98" s="5"/>
      <c r="F98" s="5"/>
      <c r="G98" s="5"/>
      <c r="H98" s="5"/>
      <c r="I98" s="5"/>
      <c r="J98" s="5"/>
      <c r="K98" s="5"/>
    </row>
    <row r="99" spans="2:11" ht="37.5" x14ac:dyDescent="0.25">
      <c r="B99" s="975"/>
      <c r="C99" s="94"/>
      <c r="D99" s="46" t="s">
        <v>1789</v>
      </c>
      <c r="E99" s="5"/>
      <c r="F99" s="5"/>
      <c r="G99" s="5"/>
      <c r="H99" s="5"/>
      <c r="I99" s="5"/>
      <c r="J99" s="5"/>
      <c r="K99" s="5"/>
    </row>
    <row r="100" spans="2:11" x14ac:dyDescent="0.25">
      <c r="B100" s="975"/>
      <c r="C100" s="94"/>
      <c r="D100" s="58" t="s">
        <v>1790</v>
      </c>
      <c r="E100" s="5"/>
      <c r="F100" s="5"/>
      <c r="G100" s="5"/>
      <c r="H100" s="5"/>
      <c r="I100" s="5"/>
      <c r="J100" s="5"/>
      <c r="K100" s="5"/>
    </row>
    <row r="101" spans="2:11" ht="72" x14ac:dyDescent="0.25">
      <c r="B101" s="975"/>
      <c r="C101" s="94"/>
      <c r="D101" s="46" t="s">
        <v>1791</v>
      </c>
      <c r="E101" s="5"/>
      <c r="F101" s="5"/>
      <c r="G101" s="5"/>
      <c r="H101" s="5"/>
      <c r="I101" s="5"/>
      <c r="J101" s="5"/>
      <c r="K101" s="5"/>
    </row>
    <row r="102" spans="2:11" ht="36" x14ac:dyDescent="0.25">
      <c r="B102" s="975"/>
      <c r="C102" s="94"/>
      <c r="D102" s="53" t="s">
        <v>1757</v>
      </c>
      <c r="E102" s="5"/>
      <c r="F102" s="5"/>
      <c r="G102" s="5"/>
      <c r="H102" s="5"/>
      <c r="I102" s="5"/>
      <c r="J102" s="5"/>
      <c r="K102" s="5"/>
    </row>
    <row r="103" spans="2:11" x14ac:dyDescent="0.25">
      <c r="B103" s="975"/>
      <c r="C103" s="94"/>
      <c r="D103" s="16"/>
      <c r="E103" s="5"/>
      <c r="F103" s="5"/>
      <c r="G103" s="5"/>
      <c r="H103" s="5"/>
      <c r="I103" s="5"/>
      <c r="J103" s="5"/>
      <c r="K103" s="5"/>
    </row>
    <row r="104" spans="2:11" x14ac:dyDescent="0.25">
      <c r="B104" s="975"/>
      <c r="C104" s="94"/>
      <c r="D104" s="46" t="s">
        <v>723</v>
      </c>
      <c r="E104" s="5"/>
      <c r="F104" s="5"/>
      <c r="G104" s="5"/>
      <c r="H104" s="5"/>
      <c r="I104" s="5"/>
      <c r="J104" s="5"/>
      <c r="K104" s="5"/>
    </row>
    <row r="105" spans="2:11" ht="49.5" x14ac:dyDescent="0.25">
      <c r="B105" s="975"/>
      <c r="C105" s="94"/>
      <c r="D105" s="46" t="s">
        <v>1792</v>
      </c>
      <c r="E105" s="5"/>
      <c r="F105" s="5"/>
      <c r="G105" s="5"/>
      <c r="H105" s="5"/>
      <c r="I105" s="5"/>
      <c r="J105" s="5"/>
      <c r="K105" s="5"/>
    </row>
    <row r="106" spans="2:11" ht="49.5" x14ac:dyDescent="0.25">
      <c r="B106" s="975"/>
      <c r="C106" s="94"/>
      <c r="D106" s="46" t="s">
        <v>1793</v>
      </c>
      <c r="E106" s="5"/>
      <c r="F106" s="5"/>
      <c r="G106" s="5"/>
      <c r="H106" s="5"/>
      <c r="I106" s="5"/>
      <c r="J106" s="5"/>
      <c r="K106" s="5"/>
    </row>
    <row r="107" spans="2:11" ht="37.5" x14ac:dyDescent="0.25">
      <c r="B107" s="975"/>
      <c r="C107" s="94"/>
      <c r="D107" s="46" t="s">
        <v>1794</v>
      </c>
      <c r="E107" s="5"/>
      <c r="F107" s="5"/>
      <c r="G107" s="5"/>
      <c r="H107" s="5"/>
      <c r="I107" s="5"/>
      <c r="J107" s="5"/>
      <c r="K107" s="5"/>
    </row>
    <row r="108" spans="2:11" ht="15.75" thickBot="1" x14ac:dyDescent="0.3">
      <c r="B108" s="976"/>
      <c r="C108" s="2"/>
      <c r="D108" s="40" t="s">
        <v>1795</v>
      </c>
      <c r="E108" s="5"/>
      <c r="F108" s="5"/>
      <c r="G108" s="5"/>
      <c r="H108" s="5"/>
      <c r="I108" s="5"/>
      <c r="J108" s="5"/>
      <c r="K108" s="5"/>
    </row>
    <row r="109" spans="2:11" x14ac:dyDescent="0.25">
      <c r="B109" s="5"/>
      <c r="D109" s="5"/>
      <c r="E109" s="5"/>
      <c r="F109" s="5"/>
      <c r="G109" s="5"/>
      <c r="H109" s="5"/>
      <c r="I109" s="5"/>
      <c r="J109" s="5"/>
      <c r="K109" s="5"/>
    </row>
    <row r="110" spans="2:11" x14ac:dyDescent="0.25">
      <c r="B110" s="5"/>
      <c r="D110" s="5"/>
      <c r="E110" s="5"/>
      <c r="F110" s="5"/>
      <c r="G110" s="5"/>
      <c r="H110" s="5"/>
      <c r="I110" s="5"/>
      <c r="J110" s="5"/>
      <c r="K110" s="5"/>
    </row>
    <row r="111" spans="2:11" x14ac:dyDescent="0.25">
      <c r="B111" s="5"/>
      <c r="D111" s="5"/>
      <c r="E111" s="5"/>
      <c r="F111" s="5"/>
      <c r="G111" s="5"/>
      <c r="H111" s="5"/>
      <c r="I111" s="5"/>
      <c r="J111" s="5"/>
      <c r="K111" s="5"/>
    </row>
    <row r="112" spans="2:11" x14ac:dyDescent="0.25">
      <c r="B112" s="5"/>
      <c r="D112" s="5"/>
      <c r="E112" s="5"/>
      <c r="F112" s="5"/>
      <c r="G112" s="5"/>
      <c r="H112" s="5"/>
      <c r="I112" s="5"/>
      <c r="J112" s="5"/>
      <c r="K112" s="5"/>
    </row>
    <row r="113" spans="2:11" x14ac:dyDescent="0.25">
      <c r="B113" s="5"/>
      <c r="D113" s="5"/>
      <c r="E113" s="5"/>
      <c r="F113" s="5"/>
      <c r="G113" s="5"/>
      <c r="H113" s="5"/>
      <c r="I113" s="5"/>
      <c r="J113" s="5"/>
      <c r="K113" s="5"/>
    </row>
    <row r="114" spans="2:11" x14ac:dyDescent="0.25">
      <c r="B114" s="5"/>
      <c r="D114" s="5"/>
      <c r="E114" s="5"/>
      <c r="F114" s="5"/>
      <c r="G114" s="5"/>
      <c r="H114" s="5"/>
      <c r="I114" s="5"/>
      <c r="J114" s="5"/>
      <c r="K114" s="5"/>
    </row>
    <row r="115" spans="2:11" x14ac:dyDescent="0.25">
      <c r="B115" s="5"/>
      <c r="D115" s="5"/>
      <c r="E115" s="5"/>
      <c r="F115" s="5"/>
      <c r="G115" s="5"/>
      <c r="H115" s="5"/>
      <c r="I115" s="5"/>
      <c r="J115" s="5"/>
      <c r="K115" s="5"/>
    </row>
    <row r="116" spans="2:11" x14ac:dyDescent="0.25">
      <c r="B116" s="5"/>
      <c r="D116" s="5"/>
      <c r="E116" s="5"/>
      <c r="F116" s="5"/>
      <c r="G116" s="5"/>
      <c r="H116" s="5"/>
      <c r="I116" s="5"/>
      <c r="J116" s="5"/>
      <c r="K116" s="5"/>
    </row>
    <row r="117" spans="2:11" x14ac:dyDescent="0.25">
      <c r="B117" s="5"/>
      <c r="D117" s="5"/>
      <c r="E117" s="5"/>
      <c r="F117" s="5"/>
      <c r="G117" s="5"/>
      <c r="H117" s="5"/>
      <c r="I117" s="5"/>
      <c r="J117" s="5"/>
      <c r="K117" s="5"/>
    </row>
    <row r="118" spans="2:11" x14ac:dyDescent="0.25">
      <c r="B118" s="5"/>
      <c r="D118" s="5"/>
      <c r="E118" s="5"/>
      <c r="F118" s="5"/>
      <c r="G118" s="5"/>
      <c r="H118" s="5"/>
      <c r="I118" s="5"/>
      <c r="J118" s="5"/>
      <c r="K118" s="5"/>
    </row>
    <row r="119" spans="2:11" x14ac:dyDescent="0.25">
      <c r="B119" s="5"/>
      <c r="D119" s="5"/>
      <c r="E119" s="5"/>
      <c r="F119" s="5"/>
      <c r="G119" s="5"/>
      <c r="H119" s="5"/>
      <c r="I119" s="5"/>
      <c r="J119" s="5"/>
      <c r="K119" s="5"/>
    </row>
    <row r="120" spans="2:11" x14ac:dyDescent="0.25">
      <c r="B120" s="5"/>
      <c r="D120" s="5"/>
      <c r="E120" s="5"/>
      <c r="F120" s="5"/>
      <c r="G120" s="5"/>
      <c r="H120" s="5"/>
      <c r="I120" s="5"/>
      <c r="J120" s="5"/>
      <c r="K120" s="5"/>
    </row>
    <row r="121" spans="2:11" x14ac:dyDescent="0.25">
      <c r="B121" s="5"/>
      <c r="D121" s="5"/>
      <c r="E121" s="5"/>
      <c r="F121" s="5"/>
      <c r="G121" s="5"/>
      <c r="H121" s="5"/>
      <c r="I121" s="5"/>
      <c r="J121" s="5"/>
      <c r="K121" s="5"/>
    </row>
    <row r="122" spans="2:11" x14ac:dyDescent="0.25">
      <c r="B122" s="5"/>
      <c r="D122" s="5"/>
      <c r="E122" s="5"/>
      <c r="F122" s="5"/>
      <c r="G122" s="5"/>
      <c r="H122" s="5"/>
      <c r="I122" s="5"/>
      <c r="J122" s="5"/>
      <c r="K122" s="5"/>
    </row>
    <row r="123" spans="2:11" x14ac:dyDescent="0.25">
      <c r="B123" s="5"/>
      <c r="D123" s="5"/>
      <c r="E123" s="5"/>
      <c r="F123" s="5"/>
      <c r="G123" s="5"/>
      <c r="H123" s="5"/>
      <c r="I123" s="5"/>
      <c r="J123" s="5"/>
      <c r="K123" s="5"/>
    </row>
    <row r="124" spans="2:11" x14ac:dyDescent="0.25">
      <c r="B124" s="5"/>
      <c r="D124" s="5"/>
      <c r="E124" s="5"/>
      <c r="F124" s="5"/>
      <c r="G124" s="5"/>
      <c r="H124" s="5"/>
      <c r="I124" s="5"/>
      <c r="J124" s="5"/>
      <c r="K124" s="5"/>
    </row>
    <row r="125" spans="2:11" x14ac:dyDescent="0.25">
      <c r="B125" s="5"/>
      <c r="D125" s="5"/>
      <c r="E125" s="5"/>
      <c r="F125" s="5"/>
      <c r="G125" s="5"/>
      <c r="H125" s="5"/>
      <c r="I125" s="5"/>
      <c r="J125" s="5"/>
      <c r="K125" s="5"/>
    </row>
    <row r="126" spans="2:11" x14ac:dyDescent="0.25">
      <c r="B126" s="5"/>
      <c r="D126" s="5"/>
      <c r="E126" s="5"/>
      <c r="F126" s="5"/>
      <c r="G126" s="5"/>
      <c r="H126" s="5"/>
      <c r="I126" s="5"/>
      <c r="J126" s="5"/>
      <c r="K126" s="5"/>
    </row>
    <row r="127" spans="2:11" x14ac:dyDescent="0.25">
      <c r="B127" s="5"/>
      <c r="D127" s="5"/>
      <c r="E127" s="5"/>
      <c r="F127" s="5"/>
      <c r="G127" s="5"/>
      <c r="H127" s="5"/>
      <c r="I127" s="5"/>
      <c r="J127" s="5"/>
      <c r="K127" s="5"/>
    </row>
    <row r="128" spans="2:11" x14ac:dyDescent="0.25">
      <c r="B128" s="5"/>
      <c r="D128" s="5"/>
      <c r="E128" s="5"/>
      <c r="F128" s="5"/>
      <c r="G128" s="5"/>
      <c r="H128" s="5"/>
      <c r="I128" s="5"/>
      <c r="J128" s="5"/>
      <c r="K128" s="5"/>
    </row>
    <row r="129" spans="2:11" x14ac:dyDescent="0.25">
      <c r="B129" s="5"/>
      <c r="D129" s="5"/>
      <c r="E129" s="5"/>
      <c r="F129" s="5"/>
      <c r="G129" s="5"/>
      <c r="H129" s="5"/>
      <c r="I129" s="5"/>
      <c r="J129" s="5"/>
      <c r="K129" s="5"/>
    </row>
    <row r="130" spans="2:11" x14ac:dyDescent="0.25">
      <c r="B130" s="5"/>
      <c r="D130" s="5"/>
      <c r="E130" s="5"/>
      <c r="F130" s="5"/>
      <c r="G130" s="5"/>
      <c r="H130" s="5"/>
      <c r="I130" s="5"/>
      <c r="J130" s="5"/>
      <c r="K130" s="5"/>
    </row>
    <row r="131" spans="2:11" x14ac:dyDescent="0.25">
      <c r="B131" s="5"/>
      <c r="D131" s="5"/>
      <c r="E131" s="5"/>
      <c r="F131" s="5"/>
      <c r="G131" s="5"/>
      <c r="H131" s="5"/>
      <c r="I131" s="5"/>
      <c r="J131" s="5"/>
      <c r="K131" s="5"/>
    </row>
    <row r="132" spans="2:11" x14ac:dyDescent="0.25">
      <c r="B132" s="5"/>
      <c r="D132" s="5"/>
      <c r="E132" s="5"/>
      <c r="F132" s="5"/>
      <c r="G132" s="5"/>
      <c r="H132" s="5"/>
      <c r="I132" s="5"/>
      <c r="J132" s="5"/>
      <c r="K132" s="5"/>
    </row>
    <row r="133" spans="2:11" x14ac:dyDescent="0.25">
      <c r="B133" s="5"/>
      <c r="D133" s="5"/>
      <c r="E133" s="5"/>
      <c r="F133" s="5"/>
      <c r="G133" s="5"/>
      <c r="H133" s="5"/>
      <c r="I133" s="5"/>
      <c r="J133" s="5"/>
      <c r="K133" s="5"/>
    </row>
    <row r="134" spans="2:11" x14ac:dyDescent="0.25">
      <c r="B134" s="5"/>
      <c r="D134" s="5"/>
      <c r="E134" s="5"/>
      <c r="F134" s="5"/>
      <c r="G134" s="5"/>
      <c r="H134" s="5"/>
      <c r="I134" s="5"/>
      <c r="J134" s="5"/>
      <c r="K134" s="5"/>
    </row>
    <row r="135" spans="2:11" x14ac:dyDescent="0.25">
      <c r="B135" s="5"/>
      <c r="D135" s="5"/>
      <c r="E135" s="5"/>
      <c r="F135" s="5"/>
      <c r="G135" s="5"/>
      <c r="H135" s="5"/>
      <c r="I135" s="5"/>
      <c r="J135" s="5"/>
      <c r="K135" s="5"/>
    </row>
    <row r="136" spans="2:11" x14ac:dyDescent="0.25">
      <c r="B136" s="5"/>
      <c r="D136" s="5"/>
      <c r="E136" s="5"/>
      <c r="F136" s="5"/>
      <c r="G136" s="5"/>
      <c r="H136" s="5"/>
      <c r="I136" s="5"/>
      <c r="J136" s="5"/>
      <c r="K136" s="5"/>
    </row>
    <row r="137" spans="2:11" x14ac:dyDescent="0.25">
      <c r="B137" s="5"/>
      <c r="D137" s="5"/>
      <c r="E137" s="5"/>
      <c r="F137" s="5"/>
      <c r="G137" s="5"/>
      <c r="H137" s="5"/>
      <c r="I137" s="5"/>
      <c r="J137" s="5"/>
      <c r="K137" s="5"/>
    </row>
    <row r="138" spans="2:11" x14ac:dyDescent="0.25">
      <c r="B138" s="5"/>
      <c r="D138" s="5"/>
      <c r="E138" s="5"/>
      <c r="F138" s="5"/>
      <c r="G138" s="5"/>
      <c r="H138" s="5"/>
      <c r="I138" s="5"/>
      <c r="J138" s="5"/>
      <c r="K138" s="5"/>
    </row>
    <row r="139" spans="2:11" x14ac:dyDescent="0.25">
      <c r="B139" s="5"/>
      <c r="D139" s="5"/>
      <c r="E139" s="5"/>
      <c r="F139" s="5"/>
      <c r="G139" s="5"/>
      <c r="H139" s="5"/>
      <c r="I139" s="5"/>
      <c r="J139" s="5"/>
      <c r="K139" s="5"/>
    </row>
    <row r="140" spans="2:11" x14ac:dyDescent="0.25">
      <c r="B140" s="5"/>
      <c r="D140" s="5"/>
      <c r="E140" s="5"/>
      <c r="F140" s="5"/>
      <c r="G140" s="5"/>
      <c r="H140" s="5"/>
      <c r="I140" s="5"/>
      <c r="J140" s="5"/>
      <c r="K140" s="5"/>
    </row>
    <row r="141" spans="2:11" x14ac:dyDescent="0.25">
      <c r="B141" s="5"/>
      <c r="D141" s="5"/>
      <c r="E141" s="5"/>
      <c r="F141" s="5"/>
      <c r="G141" s="5"/>
      <c r="H141" s="5"/>
      <c r="I141" s="5"/>
      <c r="J141" s="5"/>
      <c r="K141" s="5"/>
    </row>
    <row r="142" spans="2:11" x14ac:dyDescent="0.25">
      <c r="B142" s="5"/>
      <c r="D142" s="5"/>
      <c r="E142" s="5"/>
      <c r="F142" s="5"/>
      <c r="G142" s="5"/>
      <c r="H142" s="5"/>
      <c r="I142" s="5"/>
      <c r="J142" s="5"/>
      <c r="K142" s="5"/>
    </row>
    <row r="143" spans="2:11" x14ac:dyDescent="0.25">
      <c r="B143" s="5"/>
      <c r="D143" s="5"/>
      <c r="E143" s="5"/>
      <c r="F143" s="5"/>
      <c r="G143" s="5"/>
      <c r="H143" s="5"/>
      <c r="I143" s="5"/>
      <c r="J143" s="5"/>
      <c r="K143" s="5"/>
    </row>
    <row r="144" spans="2:11" x14ac:dyDescent="0.25">
      <c r="B144" s="5"/>
      <c r="D144" s="5"/>
      <c r="E144" s="5"/>
      <c r="F144" s="5"/>
      <c r="G144" s="5"/>
      <c r="H144" s="5"/>
      <c r="I144" s="5"/>
      <c r="J144" s="5"/>
      <c r="K144" s="5"/>
    </row>
    <row r="145" spans="2:11" x14ac:dyDescent="0.25">
      <c r="B145" s="5"/>
      <c r="D145" s="5"/>
      <c r="E145" s="5"/>
      <c r="F145" s="5"/>
      <c r="G145" s="5"/>
      <c r="H145" s="5"/>
      <c r="I145" s="5"/>
      <c r="J145" s="5"/>
      <c r="K145" s="5"/>
    </row>
    <row r="146" spans="2:11" x14ac:dyDescent="0.25">
      <c r="B146" s="5"/>
      <c r="D146" s="5"/>
      <c r="E146" s="5"/>
      <c r="F146" s="5"/>
      <c r="G146" s="5"/>
      <c r="H146" s="5"/>
      <c r="I146" s="5"/>
      <c r="J146" s="5"/>
      <c r="K146" s="5"/>
    </row>
    <row r="147" spans="2:11" x14ac:dyDescent="0.25">
      <c r="B147" s="5"/>
      <c r="D147" s="5"/>
      <c r="E147" s="5"/>
      <c r="F147" s="5"/>
      <c r="G147" s="5"/>
      <c r="H147" s="5"/>
      <c r="I147" s="5"/>
      <c r="J147" s="5"/>
      <c r="K147" s="5"/>
    </row>
    <row r="148" spans="2:11" x14ac:dyDescent="0.25">
      <c r="B148" s="5"/>
      <c r="D148" s="5"/>
      <c r="E148" s="5"/>
      <c r="F148" s="5"/>
      <c r="G148" s="5"/>
      <c r="H148" s="5"/>
      <c r="I148" s="5"/>
      <c r="J148" s="5"/>
      <c r="K148" s="5"/>
    </row>
    <row r="149" spans="2:11" x14ac:dyDescent="0.25">
      <c r="B149" s="5"/>
      <c r="D149" s="5"/>
      <c r="E149" s="5"/>
      <c r="F149" s="5"/>
      <c r="G149" s="5"/>
      <c r="H149" s="5"/>
      <c r="I149" s="5"/>
      <c r="J149" s="5"/>
      <c r="K149" s="5"/>
    </row>
    <row r="150" spans="2:11" x14ac:dyDescent="0.25">
      <c r="B150" s="5"/>
      <c r="D150" s="5"/>
      <c r="E150" s="5"/>
      <c r="F150" s="5"/>
      <c r="G150" s="5"/>
      <c r="H150" s="5"/>
      <c r="I150" s="5"/>
      <c r="J150" s="5"/>
      <c r="K150" s="5"/>
    </row>
    <row r="151" spans="2:11" x14ac:dyDescent="0.25">
      <c r="B151" s="5"/>
      <c r="D151" s="5"/>
      <c r="E151" s="5"/>
      <c r="F151" s="5"/>
      <c r="G151" s="5"/>
      <c r="H151" s="5"/>
      <c r="I151" s="5"/>
      <c r="J151" s="5"/>
      <c r="K151" s="5"/>
    </row>
    <row r="152" spans="2:11" x14ac:dyDescent="0.25">
      <c r="B152" s="5"/>
      <c r="D152" s="5"/>
      <c r="E152" s="5"/>
      <c r="F152" s="5"/>
      <c r="G152" s="5"/>
      <c r="H152" s="5"/>
      <c r="I152" s="5"/>
      <c r="J152" s="5"/>
      <c r="K152" s="5"/>
    </row>
    <row r="153" spans="2:11" x14ac:dyDescent="0.25">
      <c r="B153" s="5"/>
      <c r="D153" s="5"/>
      <c r="E153" s="5"/>
      <c r="F153" s="5"/>
      <c r="G153" s="5"/>
      <c r="H153" s="5"/>
      <c r="I153" s="5"/>
      <c r="J153" s="5"/>
      <c r="K153" s="5"/>
    </row>
    <row r="154" spans="2:11" x14ac:dyDescent="0.25">
      <c r="B154" s="5"/>
      <c r="D154" s="5"/>
      <c r="E154" s="5"/>
      <c r="F154" s="5"/>
      <c r="G154" s="5"/>
      <c r="H154" s="5"/>
      <c r="I154" s="5"/>
      <c r="J154" s="5"/>
      <c r="K154" s="5"/>
    </row>
    <row r="155" spans="2:11" x14ac:dyDescent="0.25">
      <c r="B155" s="5"/>
      <c r="D155" s="5"/>
      <c r="E155" s="5"/>
      <c r="F155" s="5"/>
      <c r="G155" s="5"/>
      <c r="H155" s="5"/>
      <c r="I155" s="5"/>
      <c r="J155" s="5"/>
      <c r="K155" s="5"/>
    </row>
    <row r="156" spans="2:11" x14ac:dyDescent="0.25">
      <c r="B156" s="5"/>
      <c r="D156" s="5"/>
      <c r="E156" s="5"/>
      <c r="F156" s="5"/>
      <c r="G156" s="5"/>
      <c r="H156" s="5"/>
      <c r="I156" s="5"/>
      <c r="J156" s="5"/>
      <c r="K156" s="5"/>
    </row>
    <row r="157" spans="2:11" x14ac:dyDescent="0.25">
      <c r="B157" s="5"/>
      <c r="D157" s="5"/>
      <c r="E157" s="5"/>
      <c r="F157" s="5"/>
      <c r="G157" s="5"/>
      <c r="H157" s="5"/>
      <c r="I157" s="5"/>
      <c r="J157" s="5"/>
      <c r="K157" s="5"/>
    </row>
    <row r="158" spans="2:11" x14ac:dyDescent="0.25">
      <c r="B158" s="5"/>
      <c r="D158" s="5"/>
      <c r="E158" s="5"/>
      <c r="F158" s="5"/>
      <c r="G158" s="5"/>
      <c r="H158" s="5"/>
      <c r="I158" s="5"/>
      <c r="J158" s="5"/>
      <c r="K158" s="5"/>
    </row>
    <row r="159" spans="2:11" x14ac:dyDescent="0.25">
      <c r="B159" s="5"/>
      <c r="D159" s="5"/>
      <c r="E159" s="5"/>
      <c r="F159" s="5"/>
      <c r="G159" s="5"/>
      <c r="H159" s="5"/>
      <c r="I159" s="5"/>
      <c r="J159" s="5"/>
      <c r="K159" s="5"/>
    </row>
    <row r="160" spans="2:11" x14ac:dyDescent="0.25">
      <c r="B160" s="5"/>
      <c r="D160" s="5"/>
      <c r="E160" s="5"/>
      <c r="F160" s="5"/>
      <c r="G160" s="5"/>
      <c r="H160" s="5"/>
      <c r="I160" s="5"/>
      <c r="J160" s="5"/>
      <c r="K160" s="5"/>
    </row>
    <row r="161" spans="2:11" x14ac:dyDescent="0.25">
      <c r="B161" s="5"/>
      <c r="D161" s="5"/>
      <c r="E161" s="5"/>
      <c r="F161" s="5"/>
      <c r="G161" s="5"/>
      <c r="H161" s="5"/>
      <c r="I161" s="5"/>
      <c r="J161" s="5"/>
      <c r="K161" s="5"/>
    </row>
    <row r="162" spans="2:11" x14ac:dyDescent="0.25">
      <c r="B162" s="5"/>
      <c r="D162" s="5"/>
      <c r="E162" s="5"/>
      <c r="F162" s="5"/>
      <c r="G162" s="5"/>
      <c r="H162" s="5"/>
      <c r="I162" s="5"/>
      <c r="J162" s="5"/>
      <c r="K162" s="5"/>
    </row>
    <row r="163" spans="2:11" x14ac:dyDescent="0.25">
      <c r="B163" s="5"/>
      <c r="D163" s="5"/>
      <c r="E163" s="5"/>
      <c r="F163" s="5"/>
      <c r="G163" s="5"/>
      <c r="H163" s="5"/>
      <c r="I163" s="5"/>
      <c r="J163" s="5"/>
      <c r="K163" s="5"/>
    </row>
    <row r="164" spans="2:11" x14ac:dyDescent="0.25">
      <c r="B164" s="5"/>
      <c r="D164" s="5"/>
      <c r="E164" s="5"/>
      <c r="F164" s="5"/>
      <c r="G164" s="5"/>
      <c r="H164" s="5"/>
      <c r="I164" s="5"/>
      <c r="J164" s="5"/>
      <c r="K164" s="5"/>
    </row>
    <row r="165" spans="2:11" x14ac:dyDescent="0.25">
      <c r="B165" s="5"/>
      <c r="D165" s="5"/>
      <c r="E165" s="5"/>
      <c r="F165" s="5"/>
      <c r="G165" s="5"/>
      <c r="H165" s="5"/>
      <c r="I165" s="5"/>
      <c r="J165" s="5"/>
      <c r="K165" s="5"/>
    </row>
    <row r="166" spans="2:11" x14ac:dyDescent="0.25">
      <c r="B166" s="5"/>
      <c r="D166" s="5"/>
      <c r="E166" s="5"/>
      <c r="F166" s="5"/>
      <c r="G166" s="5"/>
      <c r="H166" s="5"/>
      <c r="I166" s="5"/>
      <c r="J166" s="5"/>
      <c r="K166" s="5"/>
    </row>
    <row r="167" spans="2:11" x14ac:dyDescent="0.25">
      <c r="B167" s="5"/>
      <c r="D167" s="5"/>
      <c r="E167" s="5"/>
      <c r="F167" s="5"/>
      <c r="G167" s="5"/>
      <c r="H167" s="5"/>
      <c r="I167" s="5"/>
      <c r="J167" s="5"/>
      <c r="K167" s="5"/>
    </row>
    <row r="168" spans="2:11" x14ac:dyDescent="0.25">
      <c r="B168" s="5"/>
      <c r="D168" s="5"/>
      <c r="E168" s="5"/>
      <c r="F168" s="5"/>
      <c r="G168" s="5"/>
      <c r="H168" s="5"/>
      <c r="I168" s="5"/>
      <c r="J168" s="5"/>
      <c r="K168" s="5"/>
    </row>
    <row r="169" spans="2:11" x14ac:dyDescent="0.25">
      <c r="B169" s="5"/>
      <c r="D169" s="5"/>
      <c r="E169" s="5"/>
      <c r="F169" s="5"/>
      <c r="G169" s="5"/>
      <c r="H169" s="5"/>
      <c r="I169" s="5"/>
      <c r="J169" s="5"/>
      <c r="K169" s="5"/>
    </row>
    <row r="170" spans="2:11" x14ac:dyDescent="0.25">
      <c r="B170" s="5"/>
      <c r="D170" s="5"/>
      <c r="E170" s="5"/>
      <c r="F170" s="5"/>
      <c r="G170" s="5"/>
      <c r="H170" s="5"/>
      <c r="I170" s="5"/>
      <c r="J170" s="5"/>
      <c r="K170" s="5"/>
    </row>
    <row r="171" spans="2:11" x14ac:dyDescent="0.25">
      <c r="B171" s="5"/>
      <c r="D171" s="5"/>
      <c r="E171" s="5"/>
      <c r="F171" s="5"/>
      <c r="G171" s="5"/>
      <c r="H171" s="5"/>
      <c r="I171" s="5"/>
      <c r="J171" s="5"/>
      <c r="K171" s="5"/>
    </row>
    <row r="172" spans="2:11" x14ac:dyDescent="0.25">
      <c r="B172" s="5"/>
      <c r="D172" s="5"/>
      <c r="E172" s="5"/>
      <c r="F172" s="5"/>
      <c r="G172" s="5"/>
      <c r="H172" s="5"/>
      <c r="I172" s="5"/>
      <c r="J172" s="5"/>
      <c r="K172" s="5"/>
    </row>
    <row r="173" spans="2:11" x14ac:dyDescent="0.25">
      <c r="B173" s="5"/>
      <c r="D173" s="5"/>
      <c r="E173" s="5"/>
      <c r="F173" s="5"/>
      <c r="G173" s="5"/>
      <c r="H173" s="5"/>
      <c r="I173" s="5"/>
      <c r="J173" s="5"/>
      <c r="K173" s="5"/>
    </row>
    <row r="174" spans="2:11" x14ac:dyDescent="0.25">
      <c r="B174" s="5"/>
      <c r="D174" s="5"/>
      <c r="E174" s="5"/>
      <c r="F174" s="5"/>
      <c r="G174" s="5"/>
      <c r="H174" s="5"/>
      <c r="I174" s="5"/>
      <c r="J174" s="5"/>
      <c r="K174" s="5"/>
    </row>
    <row r="175" spans="2:11" x14ac:dyDescent="0.25">
      <c r="B175" s="5"/>
      <c r="D175" s="5"/>
      <c r="E175" s="5"/>
      <c r="F175" s="5"/>
      <c r="G175" s="5"/>
      <c r="H175" s="5"/>
      <c r="I175" s="5"/>
      <c r="J175" s="5"/>
      <c r="K175" s="5"/>
    </row>
    <row r="176" spans="2:11" x14ac:dyDescent="0.25">
      <c r="B176" s="5"/>
      <c r="D176" s="5"/>
      <c r="E176" s="5"/>
      <c r="F176" s="5"/>
      <c r="G176" s="5"/>
      <c r="H176" s="5"/>
      <c r="I176" s="5"/>
      <c r="J176" s="5"/>
      <c r="K176" s="5"/>
    </row>
    <row r="177" spans="2:11" x14ac:dyDescent="0.25">
      <c r="B177" s="5"/>
      <c r="D177" s="5"/>
      <c r="E177" s="5"/>
      <c r="F177" s="5"/>
      <c r="G177" s="5"/>
      <c r="H177" s="5"/>
      <c r="I177" s="5"/>
      <c r="J177" s="5"/>
      <c r="K177" s="5"/>
    </row>
    <row r="178" spans="2:11" x14ac:dyDescent="0.25">
      <c r="B178" s="5"/>
      <c r="D178" s="5"/>
      <c r="E178" s="5"/>
      <c r="F178" s="5"/>
      <c r="G178" s="5"/>
      <c r="H178" s="5"/>
      <c r="I178" s="5"/>
      <c r="J178" s="5"/>
      <c r="K178" s="5"/>
    </row>
    <row r="179" spans="2:11" x14ac:dyDescent="0.25">
      <c r="B179" s="5"/>
      <c r="D179" s="5"/>
      <c r="E179" s="5"/>
      <c r="F179" s="5"/>
      <c r="G179" s="5"/>
      <c r="H179" s="5"/>
      <c r="I179" s="5"/>
      <c r="J179" s="5"/>
      <c r="K179" s="5"/>
    </row>
    <row r="180" spans="2:11" x14ac:dyDescent="0.25">
      <c r="B180" s="5"/>
      <c r="D180" s="5"/>
      <c r="E180" s="5"/>
      <c r="F180" s="5"/>
      <c r="G180" s="5"/>
      <c r="H180" s="5"/>
      <c r="I180" s="5"/>
      <c r="J180" s="5"/>
      <c r="K180" s="5"/>
    </row>
    <row r="181" spans="2:11" x14ac:dyDescent="0.25">
      <c r="B181" s="5"/>
      <c r="D181" s="5"/>
      <c r="E181" s="5"/>
      <c r="F181" s="5"/>
      <c r="G181" s="5"/>
      <c r="H181" s="5"/>
      <c r="I181" s="5"/>
      <c r="J181" s="5"/>
      <c r="K181" s="5"/>
    </row>
    <row r="182" spans="2:11" x14ac:dyDescent="0.25">
      <c r="B182" s="5"/>
      <c r="D182" s="5"/>
      <c r="E182" s="5"/>
      <c r="F182" s="5"/>
      <c r="G182" s="5"/>
      <c r="H182" s="5"/>
      <c r="I182" s="5"/>
      <c r="J182" s="5"/>
      <c r="K182" s="5"/>
    </row>
    <row r="183" spans="2:11" x14ac:dyDescent="0.25">
      <c r="B183" s="5"/>
      <c r="D183" s="5"/>
      <c r="E183" s="5"/>
      <c r="F183" s="5"/>
      <c r="G183" s="5"/>
      <c r="H183" s="5"/>
      <c r="I183" s="5"/>
      <c r="J183" s="5"/>
      <c r="K183" s="5"/>
    </row>
  </sheetData>
  <mergeCells count="26">
    <mergeCell ref="B65:B76"/>
    <mergeCell ref="B78:B84"/>
    <mergeCell ref="B85:B108"/>
    <mergeCell ref="B15:B28"/>
    <mergeCell ref="D15:H15"/>
    <mergeCell ref="D16:H16"/>
    <mergeCell ref="D17:H17"/>
    <mergeCell ref="B45:E45"/>
    <mergeCell ref="B46:B52"/>
    <mergeCell ref="D22:H22"/>
    <mergeCell ref="D23:H23"/>
    <mergeCell ref="D33:H33"/>
    <mergeCell ref="B59:E60"/>
    <mergeCell ref="D34:H34"/>
    <mergeCell ref="B36:E36"/>
    <mergeCell ref="B37:B43"/>
    <mergeCell ref="A1:P1"/>
    <mergeCell ref="A2:P2"/>
    <mergeCell ref="A3:P3"/>
    <mergeCell ref="A4:D4"/>
    <mergeCell ref="A5:P5"/>
    <mergeCell ref="B10:D10"/>
    <mergeCell ref="F10:S10"/>
    <mergeCell ref="F11:S11"/>
    <mergeCell ref="E12:R12"/>
    <mergeCell ref="E13:R13"/>
  </mergeCells>
  <conditionalFormatting sqref="E12:R12">
    <cfRule type="expression" dxfId="15" priority="1">
      <formula>E11="SI SE REPORTA"</formula>
    </cfRule>
  </conditionalFormatting>
  <conditionalFormatting sqref="F10">
    <cfRule type="notContainsBlanks" dxfId="14" priority="4">
      <formula>LEN(TRIM(F10))&gt;0</formula>
    </cfRule>
  </conditionalFormatting>
  <conditionalFormatting sqref="F11:S11">
    <cfRule type="expression" dxfId="13" priority="2">
      <formula>E11="NO SE REPORTA"</formula>
    </cfRule>
    <cfRule type="expression" dxfId="12" priority="3">
      <formula>E10="NO APLICA"</formula>
    </cfRule>
  </conditionalFormatting>
  <dataValidations count="5">
    <dataValidation type="decimal" operator="greaterThanOrEqual" allowBlank="1" showInputMessage="1" showErrorMessage="1" prompt="ERROR - Escriba un número igual o mayor que 0" sqref="E25:F26" xr:uid="{73B18A15-73F6-4DFD-9AA0-02B9F92EE436}">
      <formula1>0</formula1>
    </dataValidation>
    <dataValidation type="list" allowBlank="1" showInputMessage="1" showErrorMessage="1" sqref="E10" xr:uid="{00000000-0002-0000-2200-000003000000}">
      <formula1>SI</formula1>
    </dataValidation>
    <dataValidation type="list" allowBlank="1" showInputMessage="1" showErrorMessage="1" sqref="E11" xr:uid="{00000000-0002-0000-2200-000002000000}">
      <formula1>REPORTE</formula1>
    </dataValidation>
    <dataValidation allowBlank="1" showInputMessage="1" showErrorMessage="1" promptTitle="OJO" prompt="NO TOCAR" sqref="E21:G21 E27:F27" xr:uid="{00000000-0002-0000-2200-000001000000}"/>
    <dataValidation type="whole" operator="greaterThanOrEqual" allowBlank="1" showErrorMessage="1" errorTitle="ERROR" error="Escriba un número igual o mayor que 0" promptTitle="ERROR" prompt="Escriba un número igual o mayor que 0" sqref="E19:G20" xr:uid="{00000000-0002-0000-2200-000000000000}">
      <formula1>0</formula1>
    </dataValidation>
  </dataValidations>
  <hyperlinks>
    <hyperlink ref="D75" r:id="rId1" display="http://www.sisaire.gov.co/" xr:uid="{E9485A02-5DF1-4169-9C49-D20EBF78A967}"/>
    <hyperlink ref="D76" r:id="rId2" display="http://www.sirh.ideam.gov.co/" xr:uid="{1B34B814-2A00-4479-AF07-91698ECCCDFF}"/>
    <hyperlink ref="B9" location="'ANEXO 3'!A1" display="VOLVER AL INDICE" xr:uid="{D2F2C88E-3A61-4C77-90A1-A43F5437AFC8}"/>
    <hyperlink ref="E41" r:id="rId3" xr:uid="{14FA1FCE-6A00-4A53-8921-DB7BA9D317F8}"/>
  </hyperlinks>
  <pageMargins left="0.25" right="0.25" top="0.75" bottom="0.75" header="0.3" footer="0.3"/>
  <pageSetup paperSize="178" orientation="landscape" horizontalDpi="1200" verticalDpi="1200" r:id="rId4"/>
  <drawing r:id="rId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51B8-C756-4F9E-908E-56A13B0A1BE7}">
  <dimension ref="A1:U124"/>
  <sheetViews>
    <sheetView showGridLines="0" zoomScale="98" zoomScaleNormal="98" workbookViewId="0">
      <selection activeCell="D18" sqref="D18:I18"/>
    </sheetView>
  </sheetViews>
  <sheetFormatPr baseColWidth="10" defaultRowHeight="15" x14ac:dyDescent="0.25"/>
  <cols>
    <col min="1" max="1" width="1.85546875" customWidth="1"/>
    <col min="2" max="2" width="11.140625" customWidth="1"/>
    <col min="3" max="3" width="5" style="87" bestFit="1" customWidth="1"/>
    <col min="4" max="4" width="34.85546875" customWidth="1"/>
    <col min="5" max="5" width="12.140625" customWidth="1"/>
  </cols>
  <sheetData>
    <row r="1" spans="1:21" s="380" customFormat="1" ht="100.5" customHeight="1" thickBot="1" x14ac:dyDescent="0.3">
      <c r="A1" s="1000"/>
      <c r="B1" s="1001"/>
      <c r="C1" s="1001"/>
      <c r="D1" s="1001"/>
      <c r="E1" s="1001"/>
      <c r="F1" s="1001"/>
      <c r="G1" s="1001"/>
      <c r="H1" s="1001"/>
      <c r="I1" s="1001"/>
      <c r="J1" s="1001"/>
      <c r="K1" s="1001"/>
      <c r="L1" s="1001"/>
      <c r="M1" s="1001"/>
      <c r="N1" s="1001"/>
      <c r="O1" s="1001"/>
      <c r="P1" s="1002"/>
      <c r="Q1"/>
      <c r="R1"/>
    </row>
    <row r="2" spans="1:21" s="381" customFormat="1" ht="16.5" thickBot="1" x14ac:dyDescent="0.3">
      <c r="A2" s="1003" t="str">
        <f>+'[5]Datos Generales'!C5</f>
        <v>Corporación Autónoma Regional del Cesar – CORPOCESAR</v>
      </c>
      <c r="B2" s="1004"/>
      <c r="C2" s="1004"/>
      <c r="D2" s="1004"/>
      <c r="E2" s="1004"/>
      <c r="F2" s="1004"/>
      <c r="G2" s="1004"/>
      <c r="H2" s="1004"/>
      <c r="I2" s="1004"/>
      <c r="J2" s="1004"/>
      <c r="K2" s="1004"/>
      <c r="L2" s="1004"/>
      <c r="M2" s="1004"/>
      <c r="N2" s="1004"/>
      <c r="O2" s="1004"/>
      <c r="P2" s="1005"/>
      <c r="Q2"/>
      <c r="R2"/>
    </row>
    <row r="3" spans="1:21" s="381" customFormat="1" ht="16.5" thickBot="1" x14ac:dyDescent="0.3">
      <c r="A3" s="997" t="s">
        <v>624</v>
      </c>
      <c r="B3" s="998"/>
      <c r="C3" s="998"/>
      <c r="D3" s="998"/>
      <c r="E3" s="998"/>
      <c r="F3" s="998"/>
      <c r="G3" s="998"/>
      <c r="H3" s="998"/>
      <c r="I3" s="998"/>
      <c r="J3" s="998"/>
      <c r="K3" s="998"/>
      <c r="L3" s="998"/>
      <c r="M3" s="998"/>
      <c r="N3" s="998"/>
      <c r="O3" s="998"/>
      <c r="P3" s="999"/>
      <c r="Q3"/>
      <c r="R3"/>
    </row>
    <row r="4" spans="1:21" s="381" customFormat="1" ht="16.5" thickBot="1" x14ac:dyDescent="0.3">
      <c r="A4" s="1006" t="s">
        <v>584</v>
      </c>
      <c r="B4" s="1007"/>
      <c r="C4" s="1007"/>
      <c r="D4" s="1007"/>
      <c r="E4" s="389" t="str">
        <f>+'[5]Datos Generales'!C6</f>
        <v>2024-I</v>
      </c>
      <c r="F4" s="389"/>
      <c r="G4" s="389"/>
      <c r="H4" s="389"/>
      <c r="I4" s="389"/>
      <c r="J4" s="389"/>
      <c r="K4" s="389"/>
      <c r="L4" s="390"/>
      <c r="M4" s="390"/>
      <c r="N4" s="390"/>
      <c r="O4" s="390"/>
      <c r="P4" s="391"/>
      <c r="Q4"/>
      <c r="R4"/>
    </row>
    <row r="5" spans="1:21" ht="16.5" customHeight="1" thickBot="1" x14ac:dyDescent="0.3">
      <c r="A5" s="997" t="s">
        <v>36</v>
      </c>
      <c r="B5" s="998"/>
      <c r="C5" s="998"/>
      <c r="D5" s="998"/>
      <c r="E5" s="998"/>
      <c r="F5" s="998"/>
      <c r="G5" s="998"/>
      <c r="H5" s="998"/>
      <c r="I5" s="998"/>
      <c r="J5" s="998"/>
      <c r="K5" s="998"/>
      <c r="L5" s="998"/>
      <c r="M5" s="998"/>
      <c r="N5" s="998"/>
      <c r="O5" s="998"/>
      <c r="P5" s="999"/>
    </row>
    <row r="6" spans="1:21" x14ac:dyDescent="0.25">
      <c r="B6" s="1" t="s">
        <v>626</v>
      </c>
      <c r="C6" s="76"/>
      <c r="D6" s="5"/>
      <c r="E6" s="74"/>
      <c r="F6" s="5" t="s">
        <v>627</v>
      </c>
      <c r="G6" s="5"/>
      <c r="H6" s="5"/>
      <c r="I6" s="5"/>
      <c r="J6" s="5"/>
      <c r="K6" s="5"/>
    </row>
    <row r="7" spans="1:21" ht="15.75" thickBot="1" x14ac:dyDescent="0.3">
      <c r="B7" s="75"/>
      <c r="C7" s="77"/>
      <c r="D7" s="5"/>
      <c r="E7" s="17"/>
      <c r="F7" s="5" t="s">
        <v>628</v>
      </c>
      <c r="G7" s="5"/>
      <c r="H7" s="5"/>
      <c r="I7" s="5"/>
      <c r="J7" s="5"/>
      <c r="K7" s="5"/>
    </row>
    <row r="8" spans="1:21" ht="15.75" thickBot="1" x14ac:dyDescent="0.3">
      <c r="B8" s="170" t="s">
        <v>629</v>
      </c>
      <c r="C8" s="211">
        <v>2024</v>
      </c>
      <c r="D8" s="216">
        <f>IF(E10="NO APLICA","NO APLICA",IF(E11="NO SE REPORTA","SIN INFORMACION",+E42))</f>
        <v>0</v>
      </c>
      <c r="E8" s="212"/>
      <c r="F8" s="5" t="s">
        <v>630</v>
      </c>
      <c r="G8" s="5"/>
      <c r="H8" s="5"/>
      <c r="I8" s="5"/>
      <c r="J8" s="5"/>
      <c r="K8" s="5"/>
    </row>
    <row r="9" spans="1:21" x14ac:dyDescent="0.25">
      <c r="B9" s="370" t="s">
        <v>631</v>
      </c>
      <c r="C9" s="88"/>
      <c r="D9" s="5"/>
      <c r="E9" s="5"/>
      <c r="F9" s="5"/>
      <c r="G9" s="5"/>
      <c r="H9" s="5"/>
      <c r="I9" s="5"/>
      <c r="J9" s="5"/>
      <c r="K9" s="5"/>
    </row>
    <row r="10" spans="1:21" x14ac:dyDescent="0.25">
      <c r="B10" s="1008" t="s">
        <v>632</v>
      </c>
      <c r="C10" s="1008"/>
      <c r="D10" s="1008"/>
      <c r="E10" s="361" t="s">
        <v>633</v>
      </c>
      <c r="F10" s="99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96"/>
      <c r="H10" s="996"/>
      <c r="I10" s="996"/>
      <c r="J10" s="996"/>
      <c r="K10" s="996"/>
      <c r="L10" s="996"/>
      <c r="M10" s="996"/>
      <c r="N10" s="996"/>
      <c r="O10" s="996"/>
      <c r="P10" s="996"/>
      <c r="Q10" s="996"/>
      <c r="R10" s="996"/>
      <c r="S10" s="996"/>
      <c r="T10" s="5"/>
      <c r="U10" s="5"/>
    </row>
    <row r="11" spans="1:21" ht="14.45" customHeight="1" x14ac:dyDescent="0.25">
      <c r="B11" s="371"/>
      <c r="C11" s="88"/>
      <c r="D11" s="171" t="str">
        <f>IF(E10="SI APLICA","¿El indicador no se reporta por limitaciones de información disponible? ","")</f>
        <v xml:space="preserve">¿El indicador no se reporta por limitaciones de información disponible? </v>
      </c>
      <c r="E11" s="362" t="s">
        <v>634</v>
      </c>
      <c r="F11" s="1009"/>
      <c r="G11" s="1010"/>
      <c r="H11" s="1010"/>
      <c r="I11" s="1010"/>
      <c r="J11" s="1010"/>
      <c r="K11" s="1010"/>
      <c r="L11" s="1010"/>
      <c r="M11" s="1010"/>
      <c r="N11" s="1010"/>
      <c r="O11" s="1010"/>
      <c r="P11" s="1010"/>
      <c r="Q11" s="1010"/>
      <c r="R11" s="1010"/>
      <c r="S11" s="1010"/>
    </row>
    <row r="12" spans="1:21" ht="31.9" customHeight="1" x14ac:dyDescent="0.25">
      <c r="B12" s="370"/>
      <c r="C12" s="88"/>
      <c r="D12" s="171" t="str">
        <f>IF(E11="SI SE REPORTA","¿Qué programas o proyectos del Plan de Acción están asociados al indicador? ","")</f>
        <v xml:space="preserve">¿Qué programas o proyectos del Plan de Acción están asociados al indicador? </v>
      </c>
      <c r="E12" s="1011" t="s">
        <v>2427</v>
      </c>
      <c r="F12" s="1011"/>
      <c r="G12" s="1011"/>
      <c r="H12" s="1011"/>
      <c r="I12" s="1011"/>
      <c r="J12" s="1011"/>
      <c r="K12" s="1011"/>
      <c r="L12" s="1011"/>
      <c r="M12" s="1011"/>
      <c r="N12" s="1011"/>
      <c r="O12" s="1011"/>
      <c r="P12" s="1011"/>
      <c r="Q12" s="1011"/>
      <c r="R12" s="1011"/>
    </row>
    <row r="13" spans="1:21" ht="21.95" customHeight="1" x14ac:dyDescent="0.25">
      <c r="B13" s="370"/>
      <c r="C13" s="88"/>
      <c r="D13" s="171" t="s">
        <v>635</v>
      </c>
      <c r="E13" s="1012"/>
      <c r="F13" s="1013"/>
      <c r="G13" s="1013"/>
      <c r="H13" s="1013"/>
      <c r="I13" s="1013"/>
      <c r="J13" s="1013"/>
      <c r="K13" s="1013"/>
      <c r="L13" s="1013"/>
      <c r="M13" s="1013"/>
      <c r="N13" s="1013"/>
      <c r="O13" s="1013"/>
      <c r="P13" s="1013"/>
      <c r="Q13" s="1013"/>
      <c r="R13" s="1014"/>
    </row>
    <row r="14" spans="1:21" ht="6.95" customHeight="1" thickBot="1" x14ac:dyDescent="0.3">
      <c r="B14" s="370"/>
      <c r="C14" s="88"/>
      <c r="D14" s="5"/>
      <c r="E14" s="5"/>
      <c r="F14" s="5"/>
      <c r="G14" s="5"/>
      <c r="H14" s="5"/>
      <c r="I14" s="5"/>
      <c r="J14" s="5"/>
      <c r="K14" s="5"/>
    </row>
    <row r="15" spans="1:21" ht="15.75" thickBot="1" x14ac:dyDescent="0.3">
      <c r="B15" s="974" t="s">
        <v>636</v>
      </c>
      <c r="C15" s="89"/>
      <c r="D15" s="956" t="s">
        <v>940</v>
      </c>
      <c r="E15" s="957"/>
      <c r="F15" s="957"/>
      <c r="G15" s="957"/>
      <c r="H15" s="957"/>
      <c r="I15" s="957"/>
      <c r="J15" s="957"/>
      <c r="K15" s="958"/>
      <c r="L15" s="188"/>
      <c r="M15" s="188"/>
      <c r="N15" s="188"/>
      <c r="O15" s="188"/>
      <c r="P15" s="188"/>
      <c r="Q15" s="188"/>
      <c r="R15" s="188"/>
    </row>
    <row r="16" spans="1:21" ht="15.75" thickBot="1" x14ac:dyDescent="0.3">
      <c r="B16" s="975"/>
      <c r="C16" s="90" t="s">
        <v>585</v>
      </c>
      <c r="D16" s="38" t="s">
        <v>849</v>
      </c>
      <c r="E16" s="38" t="s">
        <v>587</v>
      </c>
      <c r="F16" s="38" t="s">
        <v>588</v>
      </c>
      <c r="G16" s="38" t="s">
        <v>589</v>
      </c>
      <c r="H16" s="38" t="s">
        <v>590</v>
      </c>
      <c r="I16" s="38" t="s">
        <v>1251</v>
      </c>
      <c r="K16" s="21"/>
      <c r="L16" s="188"/>
      <c r="M16" s="188"/>
      <c r="N16" s="188"/>
      <c r="O16" s="188"/>
      <c r="P16" s="188"/>
      <c r="Q16" s="188"/>
      <c r="R16" s="188"/>
    </row>
    <row r="17" spans="2:18" ht="24.75" thickBot="1" x14ac:dyDescent="0.3">
      <c r="B17" s="975"/>
      <c r="C17" s="91" t="s">
        <v>765</v>
      </c>
      <c r="D17" s="40" t="s">
        <v>1796</v>
      </c>
      <c r="E17" s="6">
        <v>2</v>
      </c>
      <c r="F17" s="6">
        <v>2</v>
      </c>
      <c r="G17" s="6">
        <v>2</v>
      </c>
      <c r="H17" s="6">
        <v>2</v>
      </c>
      <c r="I17" s="42">
        <f>SUM(E17:H17)</f>
        <v>8</v>
      </c>
      <c r="K17" s="21"/>
      <c r="L17" s="188"/>
      <c r="M17" s="188"/>
      <c r="N17" s="188"/>
      <c r="O17" s="188"/>
      <c r="P17" s="188"/>
      <c r="Q17" s="188"/>
      <c r="R17" s="188"/>
    </row>
    <row r="18" spans="2:18" ht="15.75" thickBot="1" x14ac:dyDescent="0.3">
      <c r="B18" s="975"/>
      <c r="C18" s="91" t="s">
        <v>767</v>
      </c>
      <c r="D18" s="40" t="s">
        <v>1385</v>
      </c>
      <c r="E18" s="186"/>
      <c r="F18" s="186"/>
      <c r="G18" s="186"/>
      <c r="H18" s="186"/>
      <c r="I18" s="134">
        <f>SUM(E18:H18)</f>
        <v>0</v>
      </c>
      <c r="K18" s="21"/>
      <c r="L18" s="188"/>
      <c r="M18" s="188"/>
      <c r="N18" s="188"/>
      <c r="O18" s="188"/>
      <c r="P18" s="188"/>
      <c r="Q18" s="188"/>
      <c r="R18" s="188"/>
    </row>
    <row r="19" spans="2:18" ht="15.75" thickBot="1" x14ac:dyDescent="0.3">
      <c r="B19" s="975"/>
      <c r="C19" s="91" t="s">
        <v>769</v>
      </c>
      <c r="D19" s="40" t="s">
        <v>1451</v>
      </c>
      <c r="E19" s="186"/>
      <c r="F19" s="186"/>
      <c r="G19" s="186"/>
      <c r="H19" s="186"/>
      <c r="I19" s="134">
        <f>SUM(E19:H19)</f>
        <v>0</v>
      </c>
      <c r="K19" s="21"/>
      <c r="L19" s="188"/>
      <c r="M19" s="188"/>
      <c r="N19" s="188"/>
      <c r="O19" s="188"/>
      <c r="P19" s="188"/>
      <c r="Q19" s="188"/>
      <c r="R19" s="188"/>
    </row>
    <row r="20" spans="2:18" x14ac:dyDescent="0.25">
      <c r="B20" s="975"/>
      <c r="C20" s="92"/>
      <c r="D20" s="962"/>
      <c r="E20" s="963"/>
      <c r="F20" s="963"/>
      <c r="G20" s="963"/>
      <c r="H20" s="963"/>
      <c r="I20" s="963"/>
      <c r="J20" s="963"/>
      <c r="K20" s="964"/>
      <c r="L20" s="188"/>
      <c r="M20" s="188"/>
      <c r="N20" s="188"/>
      <c r="O20" s="188"/>
      <c r="P20" s="188"/>
      <c r="Q20" s="188"/>
      <c r="R20" s="188"/>
    </row>
    <row r="21" spans="2:18" ht="15.75" thickBot="1" x14ac:dyDescent="0.3">
      <c r="B21" s="975"/>
      <c r="C21" s="92"/>
      <c r="D21" s="986" t="s">
        <v>1797</v>
      </c>
      <c r="E21" s="987"/>
      <c r="F21" s="987"/>
      <c r="G21" s="987"/>
      <c r="H21" s="987"/>
      <c r="I21" s="987"/>
      <c r="J21" s="987"/>
      <c r="K21" s="988"/>
      <c r="L21" s="188"/>
      <c r="M21" s="188"/>
      <c r="N21" s="188"/>
      <c r="O21" s="188"/>
      <c r="P21" s="188"/>
      <c r="Q21" s="188"/>
      <c r="R21" s="188"/>
    </row>
    <row r="22" spans="2:18" ht="15.75" thickBot="1" x14ac:dyDescent="0.3">
      <c r="B22" s="975"/>
      <c r="C22" s="1045" t="s">
        <v>585</v>
      </c>
      <c r="D22" s="974" t="s">
        <v>868</v>
      </c>
      <c r="E22" s="983" t="s">
        <v>1255</v>
      </c>
      <c r="F22" s="985"/>
      <c r="G22" s="983" t="s">
        <v>1325</v>
      </c>
      <c r="H22" s="984"/>
      <c r="I22" s="984"/>
      <c r="J22" s="985"/>
      <c r="K22" s="114"/>
      <c r="L22" s="188"/>
      <c r="M22" s="188"/>
      <c r="N22" s="188"/>
      <c r="O22" s="188"/>
      <c r="P22" s="188"/>
      <c r="Q22" s="188"/>
      <c r="R22" s="188"/>
    </row>
    <row r="23" spans="2:18" ht="36.75" thickBot="1" x14ac:dyDescent="0.3">
      <c r="B23" s="975"/>
      <c r="C23" s="1046"/>
      <c r="D23" s="976"/>
      <c r="E23" s="40" t="s">
        <v>1256</v>
      </c>
      <c r="F23" s="43" t="s">
        <v>1257</v>
      </c>
      <c r="G23" s="40" t="s">
        <v>1385</v>
      </c>
      <c r="H23" s="40" t="s">
        <v>951</v>
      </c>
      <c r="I23" s="40" t="s">
        <v>872</v>
      </c>
      <c r="J23" s="40" t="s">
        <v>873</v>
      </c>
      <c r="K23" s="40" t="s">
        <v>593</v>
      </c>
      <c r="L23" s="188"/>
      <c r="M23" s="188"/>
      <c r="N23" s="188"/>
      <c r="O23" s="188"/>
      <c r="P23" s="188"/>
      <c r="Q23" s="188"/>
      <c r="R23" s="188"/>
    </row>
    <row r="24" spans="2:18" ht="15.75" thickBot="1" x14ac:dyDescent="0.3">
      <c r="B24" s="975"/>
      <c r="C24" s="91">
        <v>1</v>
      </c>
      <c r="D24" s="160"/>
      <c r="E24" s="31"/>
      <c r="F24" s="31"/>
      <c r="G24" s="186"/>
      <c r="H24" s="186"/>
      <c r="I24" s="186"/>
      <c r="J24" s="186"/>
      <c r="K24" s="186"/>
      <c r="L24" s="188"/>
      <c r="M24" s="188"/>
      <c r="N24" s="188"/>
      <c r="O24" s="188"/>
      <c r="P24" s="188"/>
      <c r="Q24" s="188"/>
      <c r="R24" s="188"/>
    </row>
    <row r="25" spans="2:18" ht="15.75" thickBot="1" x14ac:dyDescent="0.3">
      <c r="B25" s="975"/>
      <c r="C25" s="91">
        <v>2</v>
      </c>
      <c r="D25" s="160"/>
      <c r="E25" s="31"/>
      <c r="F25" s="31"/>
      <c r="G25" s="186"/>
      <c r="H25" s="186"/>
      <c r="I25" s="186"/>
      <c r="J25" s="186"/>
      <c r="K25" s="186"/>
      <c r="L25" s="188"/>
      <c r="M25" s="188"/>
      <c r="N25" s="188"/>
      <c r="O25" s="188"/>
      <c r="P25" s="188"/>
      <c r="Q25" s="188"/>
      <c r="R25" s="188"/>
    </row>
    <row r="26" spans="2:18" ht="15.75" thickBot="1" x14ac:dyDescent="0.3">
      <c r="B26" s="975"/>
      <c r="C26" s="91">
        <v>3</v>
      </c>
      <c r="D26" s="160"/>
      <c r="E26" s="31"/>
      <c r="F26" s="31"/>
      <c r="G26" s="186"/>
      <c r="H26" s="186"/>
      <c r="I26" s="186"/>
      <c r="J26" s="186"/>
      <c r="K26" s="186"/>
      <c r="L26" s="188"/>
      <c r="M26" s="188"/>
      <c r="N26" s="188"/>
      <c r="O26" s="188"/>
      <c r="P26" s="188"/>
      <c r="Q26" s="188"/>
      <c r="R26" s="188"/>
    </row>
    <row r="27" spans="2:18" ht="15.75" thickBot="1" x14ac:dyDescent="0.3">
      <c r="B27" s="975"/>
      <c r="C27" s="91">
        <v>4</v>
      </c>
      <c r="D27" s="160"/>
      <c r="E27" s="31"/>
      <c r="F27" s="31"/>
      <c r="G27" s="186"/>
      <c r="H27" s="186"/>
      <c r="I27" s="186"/>
      <c r="J27" s="186"/>
      <c r="K27" s="186"/>
      <c r="L27" s="188"/>
      <c r="M27" s="188"/>
      <c r="N27" s="188"/>
      <c r="O27" s="188"/>
      <c r="P27" s="188"/>
      <c r="Q27" s="188"/>
      <c r="R27" s="188"/>
    </row>
    <row r="28" spans="2:18" ht="15.75" thickBot="1" x14ac:dyDescent="0.3">
      <c r="B28" s="975"/>
      <c r="C28" s="91">
        <v>5</v>
      </c>
      <c r="D28" s="160"/>
      <c r="E28" s="31"/>
      <c r="F28" s="31"/>
      <c r="G28" s="186"/>
      <c r="H28" s="186"/>
      <c r="I28" s="186"/>
      <c r="J28" s="186"/>
      <c r="K28" s="186"/>
      <c r="L28" s="188"/>
      <c r="M28" s="188"/>
      <c r="N28" s="188"/>
      <c r="O28" s="188"/>
      <c r="P28" s="188"/>
      <c r="Q28" s="188"/>
      <c r="R28" s="188"/>
    </row>
    <row r="29" spans="2:18" ht="15.75" thickBot="1" x14ac:dyDescent="0.3">
      <c r="B29" s="975"/>
      <c r="C29" s="91">
        <v>6</v>
      </c>
      <c r="D29" s="160"/>
      <c r="E29" s="31"/>
      <c r="F29" s="31"/>
      <c r="G29" s="186"/>
      <c r="H29" s="186"/>
      <c r="I29" s="186"/>
      <c r="J29" s="186"/>
      <c r="K29" s="186"/>
      <c r="L29" s="188"/>
      <c r="M29" s="188"/>
      <c r="N29" s="188"/>
      <c r="O29" s="188"/>
      <c r="P29" s="188"/>
      <c r="Q29" s="188"/>
      <c r="R29" s="188"/>
    </row>
    <row r="30" spans="2:18" ht="15.75" thickBot="1" x14ac:dyDescent="0.3">
      <c r="B30" s="975"/>
      <c r="C30" s="76"/>
      <c r="D30" s="45" t="s">
        <v>764</v>
      </c>
      <c r="E30" s="1"/>
      <c r="F30" s="1"/>
      <c r="G30" s="135">
        <f>SUM(G24:G29)</f>
        <v>0</v>
      </c>
      <c r="H30" s="135">
        <f>SUM(H24:H29)</f>
        <v>0</v>
      </c>
      <c r="I30" s="135">
        <f>SUM(I24:I29)</f>
        <v>0</v>
      </c>
      <c r="J30" s="135">
        <f>SUM(J24:J29)</f>
        <v>0</v>
      </c>
      <c r="K30" s="186"/>
      <c r="L30" s="188"/>
      <c r="M30" s="188"/>
      <c r="N30" s="188"/>
      <c r="O30" s="188"/>
      <c r="P30" s="188"/>
      <c r="Q30" s="188"/>
      <c r="R30" s="188"/>
    </row>
    <row r="31" spans="2:18" x14ac:dyDescent="0.25">
      <c r="B31" s="975"/>
      <c r="C31" s="92"/>
      <c r="D31" s="962" t="s">
        <v>1453</v>
      </c>
      <c r="E31" s="963"/>
      <c r="F31" s="963"/>
      <c r="G31" s="963"/>
      <c r="H31" s="963"/>
      <c r="I31" s="963"/>
      <c r="J31" s="963"/>
      <c r="K31" s="964"/>
      <c r="L31" s="188"/>
      <c r="M31" s="188"/>
      <c r="N31" s="188"/>
      <c r="O31" s="188"/>
      <c r="P31" s="188"/>
      <c r="Q31" s="188"/>
      <c r="R31" s="188"/>
    </row>
    <row r="32" spans="2:18" ht="15.75" thickBot="1" x14ac:dyDescent="0.3">
      <c r="B32" s="975"/>
      <c r="C32" s="92"/>
      <c r="D32" s="962" t="s">
        <v>1798</v>
      </c>
      <c r="E32" s="963"/>
      <c r="F32" s="963"/>
      <c r="G32" s="963"/>
      <c r="H32" s="963"/>
      <c r="I32" s="963"/>
      <c r="J32" s="963"/>
      <c r="K32" s="964"/>
      <c r="L32" s="188"/>
      <c r="M32" s="188"/>
      <c r="N32" s="188"/>
      <c r="O32" s="188"/>
      <c r="P32" s="188"/>
      <c r="Q32" s="188"/>
      <c r="R32" s="188"/>
    </row>
    <row r="33" spans="2:18" ht="15.75" thickBot="1" x14ac:dyDescent="0.3">
      <c r="B33" s="975"/>
      <c r="C33" s="1045" t="s">
        <v>585</v>
      </c>
      <c r="D33" s="1179" t="s">
        <v>1329</v>
      </c>
      <c r="E33" s="38" t="s">
        <v>1455</v>
      </c>
      <c r="F33" s="1084" t="s">
        <v>1330</v>
      </c>
      <c r="G33" s="1094"/>
      <c r="H33" s="43"/>
      <c r="I33" s="5"/>
      <c r="K33" s="21"/>
      <c r="L33" s="188"/>
      <c r="M33" s="188"/>
      <c r="N33" s="188"/>
      <c r="O33" s="188"/>
      <c r="P33" s="188"/>
      <c r="Q33" s="188"/>
      <c r="R33" s="188"/>
    </row>
    <row r="34" spans="2:18" x14ac:dyDescent="0.25">
      <c r="B34" s="975"/>
      <c r="C34" s="1178"/>
      <c r="D34" s="1180"/>
      <c r="E34" s="974" t="s">
        <v>1799</v>
      </c>
      <c r="F34" s="974" t="s">
        <v>1331</v>
      </c>
      <c r="G34" s="46" t="s">
        <v>1332</v>
      </c>
      <c r="H34" s="974" t="s">
        <v>593</v>
      </c>
      <c r="I34" s="5"/>
      <c r="K34" s="21"/>
      <c r="L34" s="188"/>
      <c r="M34" s="188"/>
      <c r="N34" s="188"/>
      <c r="O34" s="188"/>
      <c r="P34" s="188"/>
      <c r="Q34" s="188"/>
      <c r="R34" s="188"/>
    </row>
    <row r="35" spans="2:18" ht="24.75" thickBot="1" x14ac:dyDescent="0.3">
      <c r="B35" s="975"/>
      <c r="C35" s="1046"/>
      <c r="D35" s="1181"/>
      <c r="E35" s="976"/>
      <c r="F35" s="976"/>
      <c r="G35" s="40" t="s">
        <v>1326</v>
      </c>
      <c r="H35" s="976"/>
      <c r="I35" s="5"/>
      <c r="K35" s="21"/>
      <c r="L35" s="188"/>
      <c r="M35" s="188"/>
      <c r="N35" s="188"/>
      <c r="O35" s="188"/>
      <c r="P35" s="188"/>
      <c r="Q35" s="188"/>
      <c r="R35" s="188"/>
    </row>
    <row r="36" spans="2:18" ht="15.75" thickBot="1" x14ac:dyDescent="0.3">
      <c r="B36" s="975"/>
      <c r="C36" s="2">
        <v>1</v>
      </c>
      <c r="D36" s="157"/>
      <c r="E36" s="263">
        <f>+F24</f>
        <v>0</v>
      </c>
      <c r="F36" s="372">
        <f>IFERROR(I24/H24,0)</f>
        <v>0</v>
      </c>
      <c r="G36" s="372">
        <f>IFERROR(J24/I24,0)</f>
        <v>0</v>
      </c>
      <c r="H36" s="30"/>
      <c r="I36" s="5"/>
      <c r="J36" s="373"/>
      <c r="K36" s="21"/>
      <c r="L36" s="188"/>
      <c r="M36" s="188"/>
      <c r="N36" s="188"/>
      <c r="O36" s="188"/>
      <c r="P36" s="188"/>
      <c r="Q36" s="188"/>
      <c r="R36" s="188"/>
    </row>
    <row r="37" spans="2:18" ht="15.75" thickBot="1" x14ac:dyDescent="0.3">
      <c r="B37" s="975"/>
      <c r="C37" s="2">
        <v>2</v>
      </c>
      <c r="D37" s="157"/>
      <c r="E37" s="263">
        <f>+F25</f>
        <v>0</v>
      </c>
      <c r="F37" s="372">
        <f>IFERROR(I25/H25,0)</f>
        <v>0</v>
      </c>
      <c r="G37" s="372">
        <f>IFERROR(J25/I25,0)</f>
        <v>0</v>
      </c>
      <c r="H37" s="30"/>
      <c r="I37" s="5"/>
      <c r="K37" s="21"/>
      <c r="L37" s="188"/>
      <c r="M37" s="188"/>
      <c r="N37" s="188"/>
      <c r="O37" s="188"/>
      <c r="P37" s="188"/>
      <c r="Q37" s="188"/>
      <c r="R37" s="188"/>
    </row>
    <row r="38" spans="2:18" ht="15.75" thickBot="1" x14ac:dyDescent="0.3">
      <c r="B38" s="975"/>
      <c r="C38" s="2">
        <v>3</v>
      </c>
      <c r="D38" s="157"/>
      <c r="E38" s="263">
        <v>0.7</v>
      </c>
      <c r="F38" s="372">
        <v>0.8</v>
      </c>
      <c r="G38" s="372">
        <f>IFERROR(J26/I26,0)</f>
        <v>0</v>
      </c>
      <c r="H38" s="30"/>
      <c r="I38" s="5"/>
      <c r="K38" s="21"/>
      <c r="L38" s="188"/>
      <c r="M38" s="188"/>
      <c r="N38" s="188"/>
      <c r="O38" s="188"/>
      <c r="P38" s="188"/>
      <c r="Q38" s="188"/>
      <c r="R38" s="188"/>
    </row>
    <row r="39" spans="2:18" ht="15.75" thickBot="1" x14ac:dyDescent="0.3">
      <c r="B39" s="975"/>
      <c r="C39" s="2">
        <v>4</v>
      </c>
      <c r="D39" s="157"/>
      <c r="E39" s="263">
        <f>+F27</f>
        <v>0</v>
      </c>
      <c r="F39" s="372">
        <f>IFERROR(I27/H27,0)</f>
        <v>0</v>
      </c>
      <c r="G39" s="372">
        <f>IFERROR(J27/I27,0)</f>
        <v>0</v>
      </c>
      <c r="H39" s="30"/>
      <c r="I39" s="5"/>
      <c r="K39" s="21"/>
      <c r="L39" s="188"/>
      <c r="M39" s="188"/>
      <c r="N39" s="188"/>
      <c r="O39" s="188"/>
      <c r="P39" s="188"/>
      <c r="Q39" s="188"/>
      <c r="R39" s="188"/>
    </row>
    <row r="40" spans="2:18" ht="15.75" thickBot="1" x14ac:dyDescent="0.3">
      <c r="B40" s="975"/>
      <c r="C40" s="2">
        <v>5</v>
      </c>
      <c r="D40" s="157"/>
      <c r="E40" s="263">
        <f>+F28</f>
        <v>0</v>
      </c>
      <c r="F40" s="372">
        <f>IFERROR(I28/H28,0)</f>
        <v>0</v>
      </c>
      <c r="G40" s="372">
        <f>IFERROR(J28/I28,0)</f>
        <v>0</v>
      </c>
      <c r="H40" s="30"/>
      <c r="I40" s="5"/>
      <c r="K40" s="21"/>
      <c r="L40" s="188"/>
      <c r="M40" s="188"/>
      <c r="N40" s="188"/>
      <c r="O40" s="188"/>
      <c r="P40" s="188"/>
      <c r="Q40" s="188"/>
      <c r="R40" s="188"/>
    </row>
    <row r="41" spans="2:18" ht="15.75" thickBot="1" x14ac:dyDescent="0.3">
      <c r="B41" s="975"/>
      <c r="C41" s="2">
        <v>6</v>
      </c>
      <c r="D41" s="157"/>
      <c r="E41" s="263">
        <f>+F29</f>
        <v>0</v>
      </c>
      <c r="F41" s="372">
        <f>IFERROR(I29/H29,0)</f>
        <v>0</v>
      </c>
      <c r="G41" s="372">
        <f>IFERROR(J29/I29,0)</f>
        <v>0</v>
      </c>
      <c r="H41" s="30"/>
      <c r="I41" s="5"/>
      <c r="K41" s="21"/>
      <c r="L41" s="188"/>
      <c r="M41" s="188"/>
      <c r="N41" s="188"/>
      <c r="O41" s="188"/>
      <c r="P41" s="188"/>
      <c r="Q41" s="188"/>
      <c r="R41" s="188"/>
    </row>
    <row r="42" spans="2:18" ht="15.75" thickBot="1" x14ac:dyDescent="0.3">
      <c r="B42" s="976"/>
      <c r="C42" s="2"/>
      <c r="D42" s="158" t="str">
        <f>+[5]Formulas!D31</f>
        <v>ERROR: LA SUMA DE LA COLUMNA DEBE SER 100%</v>
      </c>
      <c r="E42" s="374">
        <f>+D36*E36+D37*E37+D38*E38+D39*E39+D40*E40+D41*E41</f>
        <v>0</v>
      </c>
      <c r="F42" s="374">
        <f>+D36*F36+D37*F37+D38*F38+D39*F39+D40*F40+D41*F41</f>
        <v>0</v>
      </c>
      <c r="G42" s="372">
        <f>IFERROR(J30/I30,0)</f>
        <v>0</v>
      </c>
      <c r="H42" s="30"/>
      <c r="I42" s="22"/>
      <c r="K42" s="23"/>
      <c r="L42" s="188"/>
      <c r="M42" s="188" t="s">
        <v>1457</v>
      </c>
      <c r="N42" s="188"/>
      <c r="O42" s="188"/>
      <c r="P42" s="188"/>
      <c r="Q42" s="188"/>
      <c r="R42" s="188"/>
    </row>
    <row r="43" spans="2:18" ht="24" customHeight="1" thickBot="1" x14ac:dyDescent="0.3">
      <c r="B43" s="179" t="s">
        <v>671</v>
      </c>
      <c r="C43" s="86"/>
      <c r="D43" s="1175" t="s">
        <v>1800</v>
      </c>
      <c r="E43" s="1176"/>
      <c r="F43" s="1176"/>
      <c r="G43" s="1176"/>
      <c r="H43" s="1176"/>
      <c r="I43" s="1176"/>
      <c r="J43" s="1176"/>
      <c r="K43" s="1177"/>
      <c r="L43" s="188"/>
      <c r="M43" s="188"/>
      <c r="N43" s="188"/>
      <c r="O43" s="188"/>
      <c r="P43" s="188"/>
      <c r="Q43" s="188"/>
      <c r="R43" s="188"/>
    </row>
    <row r="44" spans="2:18" ht="36.75" thickBot="1" x14ac:dyDescent="0.3">
      <c r="B44" s="179" t="s">
        <v>673</v>
      </c>
      <c r="C44" s="86"/>
      <c r="D44" s="1175" t="s">
        <v>953</v>
      </c>
      <c r="E44" s="1176"/>
      <c r="F44" s="1176"/>
      <c r="G44" s="1176"/>
      <c r="H44" s="1176"/>
      <c r="I44" s="1176"/>
      <c r="J44" s="1176"/>
      <c r="K44" s="1177"/>
      <c r="L44" s="188"/>
      <c r="M44" s="188"/>
      <c r="N44" s="188"/>
      <c r="O44" s="188"/>
      <c r="P44" s="188"/>
      <c r="Q44" s="188"/>
      <c r="R44" s="188"/>
    </row>
    <row r="45" spans="2:18" ht="15.75" thickBot="1" x14ac:dyDescent="0.3">
      <c r="B45" s="7"/>
      <c r="C45" s="81"/>
      <c r="D45" s="18"/>
      <c r="E45" s="18"/>
      <c r="F45" s="18"/>
      <c r="G45" s="18"/>
      <c r="H45" s="18"/>
      <c r="I45" s="18"/>
      <c r="J45" s="18"/>
      <c r="K45" s="18"/>
      <c r="L45" s="188"/>
      <c r="M45" s="188"/>
      <c r="N45" s="188"/>
      <c r="O45" s="188"/>
      <c r="P45" s="188"/>
      <c r="Q45" s="188"/>
      <c r="R45" s="188"/>
    </row>
    <row r="46" spans="2:18" ht="24" customHeight="1" thickBot="1" x14ac:dyDescent="0.3">
      <c r="B46" s="1182" t="s">
        <v>675</v>
      </c>
      <c r="C46" s="1183"/>
      <c r="D46" s="1183"/>
      <c r="E46" s="1184"/>
      <c r="F46" s="18"/>
      <c r="G46" s="18"/>
      <c r="H46" s="18"/>
      <c r="I46" s="18"/>
      <c r="J46" s="18"/>
      <c r="K46" s="18"/>
      <c r="L46" s="188"/>
      <c r="M46" s="188"/>
      <c r="N46" s="188"/>
      <c r="O46" s="188"/>
      <c r="P46" s="188"/>
      <c r="Q46" s="188"/>
      <c r="R46" s="188"/>
    </row>
    <row r="47" spans="2:18" ht="48.75" thickBot="1" x14ac:dyDescent="0.3">
      <c r="B47" s="1172">
        <v>1</v>
      </c>
      <c r="C47" s="82"/>
      <c r="D47" s="33" t="s">
        <v>676</v>
      </c>
      <c r="E47" s="337" t="s">
        <v>2301</v>
      </c>
      <c r="F47" s="18"/>
      <c r="G47" s="18"/>
      <c r="H47" s="18"/>
      <c r="I47" s="18"/>
      <c r="J47" s="18"/>
      <c r="K47" s="18"/>
      <c r="L47" s="188"/>
      <c r="M47" s="188"/>
      <c r="N47" s="188"/>
      <c r="O47" s="188"/>
      <c r="P47" s="188"/>
      <c r="Q47" s="188"/>
      <c r="R47" s="188"/>
    </row>
    <row r="48" spans="2:18" ht="48.75" thickBot="1" x14ac:dyDescent="0.3">
      <c r="B48" s="1173"/>
      <c r="C48" s="82"/>
      <c r="D48" s="181" t="s">
        <v>525</v>
      </c>
      <c r="E48" s="337" t="s">
        <v>2311</v>
      </c>
      <c r="F48" s="18"/>
      <c r="G48" s="18"/>
      <c r="H48" s="18"/>
      <c r="I48" s="18"/>
      <c r="J48" s="18"/>
      <c r="K48" s="18"/>
      <c r="L48" s="188"/>
      <c r="M48" s="188"/>
      <c r="N48" s="188"/>
      <c r="O48" s="188"/>
      <c r="P48" s="188"/>
      <c r="Q48" s="188"/>
      <c r="R48" s="188"/>
    </row>
    <row r="49" spans="2:18" ht="36.75" thickBot="1" x14ac:dyDescent="0.3">
      <c r="B49" s="1173"/>
      <c r="C49" s="82"/>
      <c r="D49" s="181" t="s">
        <v>677</v>
      </c>
      <c r="E49" s="337" t="s">
        <v>2303</v>
      </c>
      <c r="F49" s="18"/>
      <c r="G49" s="18"/>
      <c r="H49" s="18"/>
      <c r="I49" s="18"/>
      <c r="J49" s="18"/>
      <c r="K49" s="18"/>
      <c r="L49" s="188"/>
      <c r="M49" s="188"/>
      <c r="N49" s="188"/>
      <c r="O49" s="188"/>
      <c r="P49" s="188"/>
      <c r="Q49" s="188"/>
      <c r="R49" s="188"/>
    </row>
    <row r="50" spans="2:18" ht="15.75" thickBot="1" x14ac:dyDescent="0.3">
      <c r="B50" s="1173"/>
      <c r="C50" s="82"/>
      <c r="D50" s="181" t="s">
        <v>527</v>
      </c>
      <c r="E50" s="337" t="s">
        <v>2304</v>
      </c>
      <c r="F50" s="18"/>
      <c r="G50" s="18"/>
      <c r="H50" s="18"/>
      <c r="I50" s="18"/>
      <c r="J50" s="18"/>
      <c r="K50" s="18"/>
      <c r="L50" s="188"/>
      <c r="M50" s="188"/>
      <c r="N50" s="188"/>
      <c r="O50" s="188"/>
      <c r="P50" s="188"/>
      <c r="Q50" s="188"/>
      <c r="R50" s="188"/>
    </row>
    <row r="51" spans="2:18" ht="60.75" thickBot="1" x14ac:dyDescent="0.3">
      <c r="B51" s="1173"/>
      <c r="C51" s="82"/>
      <c r="D51" s="181" t="s">
        <v>529</v>
      </c>
      <c r="E51" s="766" t="s">
        <v>2309</v>
      </c>
      <c r="F51" s="18"/>
      <c r="G51" s="18"/>
      <c r="H51" s="18"/>
      <c r="I51" s="18"/>
      <c r="J51" s="18"/>
      <c r="K51" s="18"/>
      <c r="L51" s="188"/>
      <c r="M51" s="188"/>
      <c r="N51" s="188"/>
      <c r="O51" s="188"/>
      <c r="P51" s="188"/>
      <c r="Q51" s="188"/>
      <c r="R51" s="188"/>
    </row>
    <row r="52" spans="2:18" ht="15.75" thickBot="1" x14ac:dyDescent="0.3">
      <c r="B52" s="1173"/>
      <c r="C52" s="82"/>
      <c r="D52" s="181" t="s">
        <v>531</v>
      </c>
      <c r="E52" s="337">
        <v>5748960</v>
      </c>
      <c r="F52" s="18"/>
      <c r="G52" s="18"/>
      <c r="H52" s="18"/>
      <c r="I52" s="18"/>
      <c r="J52" s="18"/>
      <c r="K52" s="18"/>
      <c r="L52" s="188"/>
      <c r="M52" s="188"/>
      <c r="N52" s="188"/>
      <c r="O52" s="188"/>
      <c r="P52" s="188"/>
      <c r="Q52" s="188"/>
      <c r="R52" s="188"/>
    </row>
    <row r="53" spans="2:18" ht="60.75" thickBot="1" x14ac:dyDescent="0.3">
      <c r="B53" s="1174"/>
      <c r="C53" s="8"/>
      <c r="D53" s="181" t="s">
        <v>678</v>
      </c>
      <c r="E53" s="337" t="s">
        <v>2312</v>
      </c>
      <c r="F53" s="18"/>
      <c r="G53" s="18"/>
      <c r="H53" s="18"/>
      <c r="I53" s="18"/>
      <c r="J53" s="18"/>
      <c r="K53" s="18"/>
      <c r="L53" s="188"/>
      <c r="M53" s="188"/>
      <c r="N53" s="188"/>
      <c r="O53" s="188"/>
      <c r="P53" s="188"/>
      <c r="Q53" s="188"/>
      <c r="R53" s="188"/>
    </row>
    <row r="54" spans="2:18" ht="15.75" thickBot="1" x14ac:dyDescent="0.3">
      <c r="B54" s="7"/>
      <c r="C54" s="81"/>
      <c r="D54" s="18"/>
      <c r="E54" s="18"/>
      <c r="F54" s="18"/>
      <c r="G54" s="18"/>
      <c r="H54" s="18"/>
      <c r="I54" s="18"/>
      <c r="J54" s="18"/>
      <c r="K54" s="18"/>
      <c r="L54" s="188"/>
      <c r="M54" s="188"/>
      <c r="N54" s="188"/>
      <c r="O54" s="188"/>
      <c r="P54" s="188"/>
      <c r="Q54" s="188"/>
      <c r="R54" s="188"/>
    </row>
    <row r="55" spans="2:18" ht="15.75" thickBot="1" x14ac:dyDescent="0.3">
      <c r="B55" s="1182" t="s">
        <v>679</v>
      </c>
      <c r="C55" s="1183"/>
      <c r="D55" s="1183"/>
      <c r="E55" s="1184"/>
      <c r="F55" s="18"/>
      <c r="G55" s="18"/>
      <c r="H55" s="18"/>
      <c r="I55" s="18"/>
      <c r="J55" s="18"/>
      <c r="K55" s="18"/>
      <c r="L55" s="188"/>
      <c r="M55" s="188"/>
      <c r="N55" s="188"/>
      <c r="O55" s="188"/>
      <c r="P55" s="188"/>
      <c r="Q55" s="188"/>
      <c r="R55" s="188"/>
    </row>
    <row r="56" spans="2:18" ht="60.75" thickBot="1" x14ac:dyDescent="0.3">
      <c r="B56" s="1172">
        <v>1</v>
      </c>
      <c r="C56" s="82"/>
      <c r="D56" s="33" t="s">
        <v>676</v>
      </c>
      <c r="E56" s="820" t="s">
        <v>680</v>
      </c>
      <c r="F56" s="18"/>
      <c r="G56" s="18"/>
      <c r="H56" s="18"/>
      <c r="I56" s="18"/>
      <c r="J56" s="18"/>
      <c r="K56" s="18"/>
      <c r="L56" s="188"/>
      <c r="M56" s="188"/>
      <c r="N56" s="188"/>
      <c r="O56" s="188"/>
      <c r="P56" s="188"/>
      <c r="Q56" s="188"/>
      <c r="R56" s="188"/>
    </row>
    <row r="57" spans="2:18" ht="84.75" thickBot="1" x14ac:dyDescent="0.3">
      <c r="B57" s="1173"/>
      <c r="C57" s="82"/>
      <c r="D57" s="181" t="s">
        <v>525</v>
      </c>
      <c r="E57" s="819" t="s">
        <v>681</v>
      </c>
      <c r="F57" s="18"/>
      <c r="G57" s="18"/>
      <c r="H57" s="18"/>
      <c r="I57" s="18"/>
      <c r="J57" s="18"/>
      <c r="K57" s="18"/>
      <c r="L57" s="188"/>
      <c r="M57" s="188"/>
      <c r="N57" s="188"/>
      <c r="O57" s="188"/>
      <c r="P57" s="188"/>
      <c r="Q57" s="188"/>
      <c r="R57" s="188"/>
    </row>
    <row r="58" spans="2:18" ht="15.75" thickBot="1" x14ac:dyDescent="0.3">
      <c r="B58" s="1173"/>
      <c r="C58" s="82"/>
      <c r="D58" s="181" t="s">
        <v>677</v>
      </c>
      <c r="E58" s="165"/>
      <c r="F58" s="18"/>
      <c r="G58" s="18"/>
      <c r="H58" s="18"/>
      <c r="I58" s="18"/>
      <c r="J58" s="18"/>
      <c r="K58" s="18"/>
      <c r="L58" s="188"/>
      <c r="M58" s="188"/>
      <c r="N58" s="188"/>
      <c r="O58" s="188"/>
      <c r="P58" s="188"/>
      <c r="Q58" s="188"/>
      <c r="R58" s="188"/>
    </row>
    <row r="59" spans="2:18" ht="15.75" thickBot="1" x14ac:dyDescent="0.3">
      <c r="B59" s="1173"/>
      <c r="C59" s="82"/>
      <c r="D59" s="181" t="s">
        <v>527</v>
      </c>
      <c r="E59" s="165"/>
      <c r="F59" s="18"/>
      <c r="G59" s="18"/>
      <c r="H59" s="18"/>
      <c r="I59" s="18"/>
      <c r="J59" s="18"/>
      <c r="K59" s="18"/>
      <c r="L59" s="188"/>
      <c r="M59" s="188"/>
      <c r="N59" s="188"/>
      <c r="O59" s="188"/>
      <c r="P59" s="188"/>
      <c r="Q59" s="188"/>
      <c r="R59" s="188"/>
    </row>
    <row r="60" spans="2:18" ht="15.75" thickBot="1" x14ac:dyDescent="0.3">
      <c r="B60" s="1173"/>
      <c r="C60" s="82"/>
      <c r="D60" s="181" t="s">
        <v>529</v>
      </c>
      <c r="E60" s="165"/>
      <c r="F60" s="18"/>
      <c r="G60" s="18"/>
      <c r="H60" s="18"/>
      <c r="I60" s="18"/>
      <c r="J60" s="18"/>
      <c r="K60" s="18"/>
      <c r="L60" s="188"/>
      <c r="M60" s="188"/>
      <c r="N60" s="188"/>
      <c r="O60" s="188"/>
      <c r="P60" s="188"/>
      <c r="Q60" s="188"/>
      <c r="R60" s="188"/>
    </row>
    <row r="61" spans="2:18" ht="15.75" thickBot="1" x14ac:dyDescent="0.3">
      <c r="B61" s="1173"/>
      <c r="C61" s="82"/>
      <c r="D61" s="181" t="s">
        <v>531</v>
      </c>
      <c r="E61" s="165"/>
      <c r="F61" s="18"/>
      <c r="G61" s="18"/>
      <c r="H61" s="18"/>
      <c r="I61" s="18"/>
      <c r="J61" s="18"/>
      <c r="K61" s="18"/>
      <c r="L61" s="188"/>
      <c r="M61" s="188"/>
      <c r="N61" s="188"/>
      <c r="O61" s="188"/>
      <c r="P61" s="188"/>
      <c r="Q61" s="188"/>
      <c r="R61" s="188"/>
    </row>
    <row r="62" spans="2:18" ht="15.75" thickBot="1" x14ac:dyDescent="0.3">
      <c r="B62" s="1174"/>
      <c r="C62" s="8"/>
      <c r="D62" s="181" t="s">
        <v>678</v>
      </c>
      <c r="E62" s="165"/>
      <c r="F62" s="18"/>
      <c r="G62" s="18"/>
      <c r="H62" s="18"/>
      <c r="I62" s="18"/>
      <c r="J62" s="18"/>
      <c r="K62" s="18"/>
      <c r="L62" s="188"/>
      <c r="M62" s="188"/>
      <c r="N62" s="188"/>
      <c r="O62" s="188"/>
      <c r="P62" s="188"/>
      <c r="Q62" s="188"/>
      <c r="R62" s="188"/>
    </row>
    <row r="63" spans="2:18" ht="15.75" thickBot="1" x14ac:dyDescent="0.3">
      <c r="B63" s="7"/>
      <c r="C63" s="81"/>
      <c r="D63" s="18"/>
      <c r="E63" s="18"/>
      <c r="F63" s="18"/>
      <c r="G63" s="18"/>
      <c r="H63" s="18"/>
      <c r="I63" s="18"/>
      <c r="J63" s="18"/>
      <c r="K63" s="18"/>
      <c r="L63" s="188"/>
      <c r="M63" s="188"/>
      <c r="N63" s="188"/>
      <c r="O63" s="188"/>
      <c r="P63" s="188"/>
      <c r="Q63" s="188"/>
      <c r="R63" s="188"/>
    </row>
    <row r="64" spans="2:18" ht="15" customHeight="1" thickBot="1" x14ac:dyDescent="0.3">
      <c r="B64" s="182" t="s">
        <v>682</v>
      </c>
      <c r="C64" s="183"/>
      <c r="D64" s="183"/>
      <c r="E64" s="184"/>
      <c r="F64" s="188"/>
      <c r="G64" s="18"/>
      <c r="H64" s="18"/>
      <c r="I64" s="18"/>
      <c r="J64" s="18"/>
      <c r="K64" s="18"/>
      <c r="L64" s="188"/>
      <c r="M64" s="188"/>
      <c r="N64" s="188"/>
      <c r="O64" s="188"/>
      <c r="P64" s="188"/>
      <c r="Q64" s="188"/>
      <c r="R64" s="188"/>
    </row>
    <row r="65" spans="2:18" ht="24.75" thickBot="1" x14ac:dyDescent="0.3">
      <c r="B65" s="179" t="s">
        <v>683</v>
      </c>
      <c r="C65" s="181" t="s">
        <v>684</v>
      </c>
      <c r="D65" s="181" t="s">
        <v>685</v>
      </c>
      <c r="E65" s="181" t="s">
        <v>686</v>
      </c>
      <c r="F65" s="18"/>
      <c r="G65" s="18"/>
      <c r="H65" s="18"/>
      <c r="I65" s="18"/>
      <c r="J65" s="18"/>
      <c r="K65" s="188"/>
      <c r="L65" s="188"/>
      <c r="M65" s="188"/>
      <c r="N65" s="188"/>
      <c r="O65" s="188"/>
      <c r="P65" s="188"/>
      <c r="Q65" s="188"/>
      <c r="R65" s="188"/>
    </row>
    <row r="66" spans="2:18" ht="60.75" thickBot="1" x14ac:dyDescent="0.3">
      <c r="B66" s="35">
        <v>42401</v>
      </c>
      <c r="C66" s="181">
        <v>0.01</v>
      </c>
      <c r="D66" s="175" t="s">
        <v>1801</v>
      </c>
      <c r="E66" s="181"/>
      <c r="F66" s="18"/>
      <c r="G66" s="18"/>
      <c r="H66" s="18"/>
      <c r="I66" s="18"/>
      <c r="J66" s="18"/>
      <c r="K66" s="188"/>
      <c r="L66" s="188"/>
      <c r="M66" s="188"/>
      <c r="N66" s="188"/>
      <c r="O66" s="188"/>
      <c r="P66" s="188"/>
      <c r="Q66" s="188"/>
      <c r="R66" s="188"/>
    </row>
    <row r="67" spans="2:18" ht="15.75" thickBot="1" x14ac:dyDescent="0.3">
      <c r="B67" s="9"/>
      <c r="C67" s="83"/>
      <c r="D67" s="18"/>
      <c r="E67" s="18"/>
      <c r="F67" s="18"/>
      <c r="G67" s="18"/>
      <c r="H67" s="18"/>
      <c r="I67" s="18"/>
      <c r="J67" s="18"/>
      <c r="K67" s="18"/>
      <c r="L67" s="188"/>
      <c r="M67" s="188"/>
      <c r="N67" s="188"/>
      <c r="O67" s="188"/>
      <c r="P67" s="188"/>
      <c r="Q67" s="188"/>
      <c r="R67" s="188"/>
    </row>
    <row r="68" spans="2:18" ht="24.75" thickBot="1" x14ac:dyDescent="0.3">
      <c r="B68" s="356" t="s">
        <v>593</v>
      </c>
      <c r="C68" s="84"/>
      <c r="D68" s="18"/>
      <c r="E68" s="18"/>
      <c r="F68" s="18"/>
      <c r="G68" s="18"/>
      <c r="H68" s="18"/>
      <c r="I68" s="18"/>
      <c r="J68" s="18"/>
      <c r="K68" s="18"/>
      <c r="L68" s="188"/>
      <c r="M68" s="188"/>
      <c r="N68" s="188"/>
      <c r="O68" s="188"/>
      <c r="P68" s="188"/>
      <c r="Q68" s="188"/>
      <c r="R68" s="188"/>
    </row>
    <row r="69" spans="2:18" x14ac:dyDescent="0.25">
      <c r="B69" s="1150"/>
      <c r="C69" s="1151"/>
      <c r="D69" s="1151"/>
      <c r="E69" s="1151"/>
      <c r="F69" s="1151"/>
      <c r="G69" s="1152"/>
      <c r="H69" s="18"/>
      <c r="I69" s="18"/>
      <c r="J69" s="18"/>
      <c r="K69" s="18"/>
      <c r="L69" s="188"/>
      <c r="M69" s="188"/>
      <c r="N69" s="188"/>
      <c r="O69" s="188"/>
      <c r="P69" s="188"/>
      <c r="Q69" s="188"/>
      <c r="R69" s="188"/>
    </row>
    <row r="70" spans="2:18" ht="15.75" thickBot="1" x14ac:dyDescent="0.3">
      <c r="B70" s="1153"/>
      <c r="C70" s="1154"/>
      <c r="D70" s="1154"/>
      <c r="E70" s="1154"/>
      <c r="F70" s="1154"/>
      <c r="G70" s="1155"/>
      <c r="H70" s="18"/>
      <c r="I70" s="18"/>
      <c r="J70" s="18"/>
      <c r="K70" s="18"/>
      <c r="L70" s="188"/>
      <c r="M70" s="188"/>
      <c r="N70" s="188"/>
      <c r="O70" s="188"/>
      <c r="P70" s="188"/>
      <c r="Q70" s="188"/>
      <c r="R70" s="188"/>
    </row>
    <row r="71" spans="2:18" x14ac:dyDescent="0.25">
      <c r="B71" s="7"/>
      <c r="C71" s="81"/>
      <c r="D71" s="18"/>
      <c r="E71" s="18"/>
      <c r="F71" s="18"/>
      <c r="G71" s="18"/>
      <c r="H71" s="18"/>
      <c r="I71" s="18"/>
      <c r="J71" s="18"/>
      <c r="K71" s="18"/>
      <c r="L71" s="188"/>
      <c r="M71" s="188"/>
      <c r="N71" s="188"/>
      <c r="O71" s="188"/>
      <c r="P71" s="188"/>
      <c r="Q71" s="188"/>
      <c r="R71" s="188"/>
    </row>
    <row r="72" spans="2:18" ht="15.75" thickBot="1" x14ac:dyDescent="0.3">
      <c r="B72" s="18"/>
      <c r="C72" s="80"/>
      <c r="D72" s="18"/>
      <c r="E72" s="18"/>
      <c r="F72" s="18"/>
      <c r="G72" s="18"/>
      <c r="H72" s="18"/>
      <c r="I72" s="18"/>
      <c r="J72" s="18"/>
      <c r="K72" s="18"/>
      <c r="L72" s="188"/>
      <c r="M72" s="188"/>
      <c r="N72" s="188"/>
      <c r="O72" s="188"/>
      <c r="P72" s="188"/>
      <c r="Q72" s="188"/>
      <c r="R72" s="188"/>
    </row>
    <row r="73" spans="2:18" ht="24.75" thickBot="1" x14ac:dyDescent="0.3">
      <c r="B73" s="192" t="s">
        <v>688</v>
      </c>
      <c r="C73" s="85"/>
      <c r="D73" s="18"/>
      <c r="E73" s="18"/>
      <c r="F73" s="18"/>
      <c r="G73" s="18"/>
      <c r="H73" s="18"/>
      <c r="I73" s="18"/>
      <c r="J73" s="18"/>
      <c r="K73" s="18"/>
      <c r="L73" s="188"/>
      <c r="M73" s="188"/>
      <c r="N73" s="188"/>
      <c r="O73" s="188"/>
      <c r="P73" s="188"/>
      <c r="Q73" s="188"/>
      <c r="R73" s="188"/>
    </row>
    <row r="74" spans="2:18" ht="15.75" thickBot="1" x14ac:dyDescent="0.3">
      <c r="B74" s="28"/>
      <c r="C74" s="78"/>
      <c r="D74" s="18"/>
      <c r="E74" s="18"/>
      <c r="F74" s="18"/>
      <c r="G74" s="18"/>
      <c r="H74" s="18"/>
      <c r="I74" s="18"/>
      <c r="J74" s="18"/>
      <c r="K74" s="18"/>
      <c r="L74" s="188"/>
      <c r="M74" s="188"/>
      <c r="N74" s="188"/>
      <c r="O74" s="188"/>
      <c r="P74" s="188"/>
      <c r="Q74" s="188"/>
      <c r="R74" s="188"/>
    </row>
    <row r="75" spans="2:18" ht="60.75" thickBot="1" x14ac:dyDescent="0.3">
      <c r="B75" s="36" t="s">
        <v>689</v>
      </c>
      <c r="C75" s="20"/>
      <c r="D75" s="180" t="s">
        <v>1802</v>
      </c>
      <c r="E75" s="18"/>
      <c r="F75" s="18"/>
      <c r="G75" s="18"/>
      <c r="H75" s="18"/>
      <c r="I75" s="18"/>
      <c r="J75" s="18"/>
      <c r="K75" s="18"/>
      <c r="L75" s="188"/>
      <c r="M75" s="188"/>
      <c r="N75" s="188"/>
      <c r="O75" s="188"/>
      <c r="P75" s="188"/>
      <c r="Q75" s="188"/>
      <c r="R75" s="188"/>
    </row>
    <row r="76" spans="2:18" x14ac:dyDescent="0.25">
      <c r="B76" s="1172" t="s">
        <v>691</v>
      </c>
      <c r="C76" s="82"/>
      <c r="D76" s="176" t="s">
        <v>692</v>
      </c>
      <c r="E76" s="18"/>
      <c r="F76" s="18"/>
      <c r="G76" s="18"/>
      <c r="H76" s="18"/>
      <c r="I76" s="18"/>
      <c r="J76" s="18"/>
      <c r="K76" s="18"/>
      <c r="L76" s="188"/>
      <c r="M76" s="188"/>
      <c r="N76" s="188"/>
      <c r="O76" s="188"/>
      <c r="P76" s="188"/>
      <c r="Q76" s="188"/>
      <c r="R76" s="188"/>
    </row>
    <row r="77" spans="2:18" ht="84" x14ac:dyDescent="0.25">
      <c r="B77" s="1173"/>
      <c r="C77" s="82"/>
      <c r="D77" s="177" t="s">
        <v>1803</v>
      </c>
      <c r="E77" s="18"/>
      <c r="F77" s="18"/>
      <c r="G77" s="18"/>
      <c r="H77" s="18"/>
      <c r="I77" s="18"/>
      <c r="J77" s="18"/>
      <c r="K77" s="18"/>
      <c r="L77" s="188"/>
      <c r="M77" s="188"/>
      <c r="N77" s="188"/>
      <c r="O77" s="188"/>
      <c r="P77" s="188"/>
      <c r="Q77" s="188"/>
      <c r="R77" s="188"/>
    </row>
    <row r="78" spans="2:18" x14ac:dyDescent="0.25">
      <c r="B78" s="1173"/>
      <c r="C78" s="82"/>
      <c r="D78" s="176" t="s">
        <v>695</v>
      </c>
      <c r="E78" s="18"/>
      <c r="F78" s="18"/>
      <c r="G78" s="18"/>
      <c r="H78" s="18"/>
      <c r="I78" s="18"/>
      <c r="J78" s="18"/>
      <c r="K78" s="18"/>
      <c r="L78" s="188"/>
      <c r="M78" s="188"/>
      <c r="N78" s="188"/>
      <c r="O78" s="188"/>
      <c r="P78" s="188"/>
      <c r="Q78" s="188"/>
      <c r="R78" s="188"/>
    </row>
    <row r="79" spans="2:18" x14ac:dyDescent="0.25">
      <c r="B79" s="1173"/>
      <c r="C79" s="82"/>
      <c r="D79" s="177" t="s">
        <v>1804</v>
      </c>
      <c r="E79" s="18"/>
      <c r="F79" s="18"/>
      <c r="G79" s="18"/>
      <c r="H79" s="18"/>
      <c r="I79" s="18"/>
      <c r="J79" s="18"/>
      <c r="K79" s="18"/>
      <c r="L79" s="188"/>
      <c r="M79" s="188"/>
      <c r="N79" s="188"/>
      <c r="O79" s="188"/>
      <c r="P79" s="188"/>
      <c r="Q79" s="188"/>
      <c r="R79" s="188"/>
    </row>
    <row r="80" spans="2:18" x14ac:dyDescent="0.25">
      <c r="B80" s="1173"/>
      <c r="C80" s="82"/>
      <c r="D80" s="177" t="s">
        <v>697</v>
      </c>
      <c r="E80" s="18"/>
      <c r="F80" s="18"/>
      <c r="G80" s="18"/>
      <c r="H80" s="18"/>
      <c r="I80" s="18"/>
      <c r="J80" s="18"/>
      <c r="K80" s="18"/>
      <c r="L80" s="188"/>
      <c r="M80" s="188"/>
      <c r="N80" s="188"/>
      <c r="O80" s="188"/>
      <c r="P80" s="188"/>
      <c r="Q80" s="188"/>
      <c r="R80" s="188"/>
    </row>
    <row r="81" spans="2:18" x14ac:dyDescent="0.25">
      <c r="B81" s="1173"/>
      <c r="C81" s="82"/>
      <c r="D81" s="176" t="s">
        <v>923</v>
      </c>
      <c r="E81" s="18"/>
      <c r="F81" s="18"/>
      <c r="G81" s="18"/>
      <c r="H81" s="18"/>
      <c r="I81" s="18"/>
      <c r="J81" s="18"/>
      <c r="K81" s="18"/>
      <c r="L81" s="188"/>
      <c r="M81" s="188"/>
      <c r="N81" s="188"/>
      <c r="O81" s="188"/>
      <c r="P81" s="188"/>
      <c r="Q81" s="188"/>
      <c r="R81" s="188"/>
    </row>
    <row r="82" spans="2:18" ht="15.75" thickBot="1" x14ac:dyDescent="0.3">
      <c r="B82" s="1174"/>
      <c r="C82" s="8"/>
      <c r="D82" s="181" t="s">
        <v>1805</v>
      </c>
      <c r="E82" s="18"/>
      <c r="F82" s="18"/>
      <c r="G82" s="18"/>
      <c r="H82" s="18"/>
      <c r="I82" s="18"/>
      <c r="J82" s="18"/>
      <c r="K82" s="18"/>
      <c r="L82" s="188"/>
      <c r="M82" s="188"/>
      <c r="N82" s="188"/>
      <c r="O82" s="188"/>
      <c r="P82" s="188"/>
      <c r="Q82" s="188"/>
      <c r="R82" s="188"/>
    </row>
    <row r="83" spans="2:18" x14ac:dyDescent="0.25">
      <c r="B83" s="1172" t="s">
        <v>704</v>
      </c>
      <c r="C83" s="193"/>
      <c r="D83" s="1172"/>
      <c r="E83" s="18"/>
      <c r="F83" s="18"/>
      <c r="G83" s="18"/>
      <c r="H83" s="18"/>
      <c r="I83" s="18"/>
      <c r="J83" s="18"/>
      <c r="K83" s="18"/>
      <c r="L83" s="188"/>
      <c r="M83" s="188"/>
      <c r="N83" s="188"/>
      <c r="O83" s="188"/>
      <c r="P83" s="188"/>
      <c r="Q83" s="188"/>
      <c r="R83" s="188"/>
    </row>
    <row r="84" spans="2:18" ht="15.75" thickBot="1" x14ac:dyDescent="0.3">
      <c r="B84" s="1174"/>
      <c r="C84" s="79"/>
      <c r="D84" s="1174"/>
      <c r="E84" s="18"/>
      <c r="F84" s="18"/>
      <c r="G84" s="18"/>
      <c r="H84" s="18"/>
      <c r="I84" s="18"/>
      <c r="J84" s="18"/>
      <c r="K84" s="18"/>
      <c r="L84" s="188"/>
      <c r="M84" s="188"/>
      <c r="N84" s="188"/>
      <c r="O84" s="188"/>
      <c r="P84" s="188"/>
      <c r="Q84" s="188"/>
      <c r="R84" s="188"/>
    </row>
    <row r="85" spans="2:18" ht="96" x14ac:dyDescent="0.25">
      <c r="B85" s="1172" t="s">
        <v>705</v>
      </c>
      <c r="C85" s="82"/>
      <c r="D85" s="177" t="s">
        <v>1806</v>
      </c>
      <c r="E85" s="18"/>
      <c r="F85" s="18"/>
      <c r="G85" s="18"/>
      <c r="H85" s="18"/>
      <c r="I85" s="18"/>
      <c r="J85" s="18"/>
      <c r="K85" s="18"/>
      <c r="L85" s="188"/>
      <c r="M85" s="188"/>
      <c r="N85" s="188"/>
      <c r="O85" s="188"/>
      <c r="P85" s="188"/>
      <c r="Q85" s="188"/>
      <c r="R85" s="188"/>
    </row>
    <row r="86" spans="2:18" ht="204" x14ac:dyDescent="0.25">
      <c r="B86" s="1173"/>
      <c r="C86" s="82"/>
      <c r="D86" s="177" t="s">
        <v>1807</v>
      </c>
      <c r="E86" s="18"/>
      <c r="F86" s="18"/>
      <c r="G86" s="18"/>
      <c r="H86" s="18"/>
      <c r="I86" s="18"/>
      <c r="J86" s="18"/>
      <c r="K86" s="18"/>
      <c r="L86" s="188"/>
      <c r="M86" s="188"/>
      <c r="N86" s="188"/>
      <c r="O86" s="188"/>
      <c r="P86" s="188"/>
      <c r="Q86" s="188"/>
      <c r="R86" s="188"/>
    </row>
    <row r="87" spans="2:18" ht="228" x14ac:dyDescent="0.25">
      <c r="B87" s="1173"/>
      <c r="C87" s="82"/>
      <c r="D87" s="177" t="s">
        <v>1808</v>
      </c>
      <c r="E87" s="18"/>
      <c r="F87" s="18"/>
      <c r="G87" s="18"/>
      <c r="H87" s="18"/>
      <c r="I87" s="18"/>
      <c r="J87" s="18"/>
      <c r="K87" s="18"/>
    </row>
    <row r="88" spans="2:18" ht="96" x14ac:dyDescent="0.25">
      <c r="B88" s="1173"/>
      <c r="C88" s="82"/>
      <c r="D88" s="177" t="s">
        <v>1809</v>
      </c>
      <c r="E88" s="18"/>
      <c r="F88" s="18"/>
      <c r="G88" s="18"/>
      <c r="H88" s="18"/>
      <c r="I88" s="18"/>
      <c r="J88" s="18"/>
      <c r="K88" s="18"/>
    </row>
    <row r="89" spans="2:18" ht="36" x14ac:dyDescent="0.25">
      <c r="B89" s="1173"/>
      <c r="C89" s="82"/>
      <c r="D89" s="177" t="s">
        <v>1810</v>
      </c>
      <c r="E89" s="18"/>
      <c r="F89" s="18"/>
      <c r="G89" s="18"/>
      <c r="H89" s="18"/>
      <c r="I89" s="18"/>
      <c r="J89" s="18"/>
      <c r="K89" s="18"/>
    </row>
    <row r="90" spans="2:18" ht="36" x14ac:dyDescent="0.25">
      <c r="B90" s="1173"/>
      <c r="C90" s="82"/>
      <c r="D90" s="177" t="s">
        <v>1811</v>
      </c>
      <c r="E90" s="18"/>
      <c r="F90" s="18"/>
      <c r="G90" s="18"/>
      <c r="H90" s="18"/>
      <c r="I90" s="18"/>
      <c r="J90" s="18"/>
      <c r="K90" s="18"/>
    </row>
    <row r="91" spans="2:18" ht="36" x14ac:dyDescent="0.25">
      <c r="B91" s="1173"/>
      <c r="C91" s="82"/>
      <c r="D91" s="177" t="s">
        <v>1812</v>
      </c>
      <c r="E91" s="18"/>
      <c r="F91" s="18"/>
      <c r="G91" s="18"/>
      <c r="H91" s="18"/>
      <c r="I91" s="18"/>
      <c r="J91" s="18"/>
      <c r="K91" s="18"/>
    </row>
    <row r="92" spans="2:18" ht="24" x14ac:dyDescent="0.25">
      <c r="B92" s="1173"/>
      <c r="C92" s="82"/>
      <c r="D92" s="177" t="s">
        <v>1813</v>
      </c>
      <c r="E92" s="18"/>
      <c r="F92" s="18"/>
      <c r="G92" s="18"/>
      <c r="H92" s="18"/>
      <c r="I92" s="18"/>
      <c r="J92" s="18"/>
      <c r="K92" s="18"/>
    </row>
    <row r="93" spans="2:18" ht="36" x14ac:dyDescent="0.25">
      <c r="B93" s="1173"/>
      <c r="C93" s="82"/>
      <c r="D93" s="177" t="s">
        <v>1814</v>
      </c>
      <c r="E93" s="18"/>
      <c r="F93" s="18"/>
      <c r="G93" s="18"/>
      <c r="H93" s="18"/>
      <c r="I93" s="18"/>
      <c r="J93" s="18"/>
      <c r="K93" s="18"/>
    </row>
    <row r="94" spans="2:18" ht="36" x14ac:dyDescent="0.25">
      <c r="B94" s="1173"/>
      <c r="C94" s="82"/>
      <c r="D94" s="177" t="s">
        <v>1815</v>
      </c>
      <c r="E94" s="18"/>
      <c r="F94" s="18"/>
      <c r="G94" s="18"/>
      <c r="H94" s="18"/>
      <c r="I94" s="18"/>
      <c r="J94" s="18"/>
      <c r="K94" s="18"/>
    </row>
    <row r="95" spans="2:18" ht="72.75" thickBot="1" x14ac:dyDescent="0.3">
      <c r="B95" s="1174"/>
      <c r="C95" s="8"/>
      <c r="D95" s="181" t="s">
        <v>1816</v>
      </c>
      <c r="E95" s="18"/>
      <c r="F95" s="18"/>
      <c r="G95" s="18"/>
      <c r="H95" s="18"/>
      <c r="I95" s="18"/>
      <c r="J95" s="18"/>
      <c r="K95" s="18"/>
    </row>
    <row r="96" spans="2:18" ht="24" x14ac:dyDescent="0.25">
      <c r="B96" s="1172" t="s">
        <v>722</v>
      </c>
      <c r="C96" s="82"/>
      <c r="D96" s="176" t="s">
        <v>1817</v>
      </c>
      <c r="E96" s="18"/>
      <c r="F96" s="18"/>
      <c r="G96" s="18"/>
      <c r="H96" s="18"/>
      <c r="I96" s="18"/>
      <c r="J96" s="18"/>
      <c r="K96" s="18"/>
    </row>
    <row r="97" spans="2:11" x14ac:dyDescent="0.25">
      <c r="B97" s="1173"/>
      <c r="C97" s="82"/>
      <c r="D97" s="178"/>
      <c r="E97" s="18"/>
      <c r="F97" s="18"/>
      <c r="G97" s="18"/>
      <c r="H97" s="18"/>
      <c r="I97" s="18"/>
      <c r="J97" s="18"/>
      <c r="K97" s="18"/>
    </row>
    <row r="98" spans="2:11" x14ac:dyDescent="0.25">
      <c r="B98" s="1173"/>
      <c r="C98" s="82"/>
      <c r="D98" s="177" t="s">
        <v>723</v>
      </c>
      <c r="E98" s="18"/>
      <c r="F98" s="18"/>
      <c r="G98" s="18"/>
      <c r="H98" s="18"/>
      <c r="I98" s="18"/>
      <c r="J98" s="18"/>
      <c r="K98" s="18"/>
    </row>
    <row r="99" spans="2:11" ht="25.5" x14ac:dyDescent="0.25">
      <c r="B99" s="1173"/>
      <c r="C99" s="82"/>
      <c r="D99" s="177" t="s">
        <v>1818</v>
      </c>
      <c r="E99" s="18"/>
      <c r="F99" s="18"/>
      <c r="G99" s="18"/>
      <c r="H99" s="18"/>
      <c r="I99" s="18"/>
      <c r="J99" s="18"/>
      <c r="K99" s="18"/>
    </row>
    <row r="100" spans="2:11" ht="37.5" x14ac:dyDescent="0.25">
      <c r="B100" s="1173"/>
      <c r="C100" s="82"/>
      <c r="D100" s="177" t="s">
        <v>1819</v>
      </c>
      <c r="E100" s="18"/>
      <c r="F100" s="18"/>
      <c r="G100" s="18"/>
      <c r="H100" s="18"/>
      <c r="I100" s="18"/>
      <c r="J100" s="18"/>
      <c r="K100" s="18"/>
    </row>
    <row r="101" spans="2:11" ht="37.5" x14ac:dyDescent="0.25">
      <c r="B101" s="1173"/>
      <c r="C101" s="82"/>
      <c r="D101" s="177" t="s">
        <v>1820</v>
      </c>
      <c r="E101" s="18"/>
      <c r="F101" s="18"/>
      <c r="G101" s="18"/>
      <c r="H101" s="18"/>
      <c r="I101" s="18"/>
      <c r="J101" s="18"/>
      <c r="K101" s="18"/>
    </row>
    <row r="102" spans="2:11" ht="37.5" x14ac:dyDescent="0.25">
      <c r="B102" s="1173"/>
      <c r="C102" s="82"/>
      <c r="D102" s="177" t="s">
        <v>1821</v>
      </c>
      <c r="E102" s="18"/>
      <c r="F102" s="18"/>
      <c r="G102" s="18"/>
      <c r="H102" s="18"/>
      <c r="I102" s="18"/>
      <c r="J102" s="18"/>
      <c r="K102" s="18"/>
    </row>
    <row r="103" spans="2:11" x14ac:dyDescent="0.25">
      <c r="B103" s="1173"/>
      <c r="C103" s="82"/>
      <c r="D103" s="177" t="s">
        <v>1822</v>
      </c>
      <c r="E103" s="18"/>
      <c r="F103" s="18"/>
      <c r="G103" s="18"/>
      <c r="H103" s="18"/>
      <c r="I103" s="18"/>
      <c r="J103" s="18"/>
      <c r="K103" s="18"/>
    </row>
    <row r="104" spans="2:11" x14ac:dyDescent="0.25">
      <c r="B104" s="1173"/>
      <c r="C104" s="82"/>
      <c r="D104" s="177" t="s">
        <v>1823</v>
      </c>
      <c r="E104" s="18"/>
      <c r="F104" s="18"/>
      <c r="G104" s="18"/>
      <c r="H104" s="18"/>
      <c r="I104" s="18"/>
      <c r="J104" s="18"/>
      <c r="K104" s="18"/>
    </row>
    <row r="105" spans="2:11" x14ac:dyDescent="0.25">
      <c r="B105" s="1173"/>
      <c r="C105" s="82"/>
      <c r="D105" s="177" t="s">
        <v>1824</v>
      </c>
      <c r="E105" s="18"/>
      <c r="F105" s="18"/>
      <c r="G105" s="18"/>
      <c r="H105" s="18"/>
      <c r="I105" s="18"/>
      <c r="J105" s="18"/>
      <c r="K105" s="18"/>
    </row>
    <row r="106" spans="2:11" x14ac:dyDescent="0.25">
      <c r="B106" s="1173"/>
      <c r="C106" s="82"/>
      <c r="D106" s="177" t="s">
        <v>1505</v>
      </c>
      <c r="E106" s="18"/>
      <c r="F106" s="18"/>
      <c r="G106" s="18"/>
      <c r="H106" s="18"/>
      <c r="I106" s="18"/>
      <c r="J106" s="18"/>
      <c r="K106" s="18"/>
    </row>
    <row r="107" spans="2:11" ht="84" x14ac:dyDescent="0.25">
      <c r="B107" s="1173"/>
      <c r="C107" s="82"/>
      <c r="D107" s="194" t="s">
        <v>892</v>
      </c>
      <c r="E107" s="18"/>
      <c r="F107" s="18"/>
      <c r="G107" s="18"/>
      <c r="H107" s="18"/>
      <c r="I107" s="18"/>
      <c r="J107" s="18"/>
      <c r="K107" s="18"/>
    </row>
    <row r="108" spans="2:11" x14ac:dyDescent="0.25">
      <c r="B108" s="1173"/>
      <c r="C108" s="82"/>
      <c r="D108" s="177" t="s">
        <v>866</v>
      </c>
      <c r="E108" s="18"/>
      <c r="F108" s="18"/>
      <c r="G108" s="18"/>
      <c r="H108" s="18"/>
      <c r="I108" s="18"/>
      <c r="J108" s="18"/>
      <c r="K108" s="18"/>
    </row>
    <row r="109" spans="2:11" ht="24" x14ac:dyDescent="0.25">
      <c r="B109" s="1173"/>
      <c r="C109" s="82"/>
      <c r="D109" s="176" t="s">
        <v>1825</v>
      </c>
      <c r="E109" s="18"/>
      <c r="F109" s="18"/>
      <c r="G109" s="18"/>
      <c r="H109" s="18"/>
      <c r="I109" s="18"/>
      <c r="J109" s="18"/>
      <c r="K109" s="18"/>
    </row>
    <row r="110" spans="2:11" x14ac:dyDescent="0.25">
      <c r="B110" s="1173"/>
      <c r="C110" s="82"/>
      <c r="D110" s="178"/>
      <c r="E110" s="18"/>
      <c r="F110" s="18"/>
      <c r="G110" s="18"/>
      <c r="H110" s="18"/>
      <c r="I110" s="18"/>
      <c r="J110" s="18"/>
      <c r="K110" s="18"/>
    </row>
    <row r="111" spans="2:11" x14ac:dyDescent="0.25">
      <c r="B111" s="1173"/>
      <c r="C111" s="82"/>
      <c r="D111" s="177" t="s">
        <v>723</v>
      </c>
      <c r="E111" s="18"/>
      <c r="F111" s="18"/>
      <c r="G111" s="18"/>
      <c r="H111" s="18"/>
      <c r="I111" s="18"/>
      <c r="J111" s="18"/>
      <c r="K111" s="18"/>
    </row>
    <row r="112" spans="2:11" ht="37.5" x14ac:dyDescent="0.25">
      <c r="B112" s="1173"/>
      <c r="C112" s="82"/>
      <c r="D112" s="177" t="s">
        <v>1826</v>
      </c>
      <c r="E112" s="18"/>
      <c r="F112" s="18"/>
      <c r="G112" s="18"/>
      <c r="H112" s="18"/>
      <c r="I112" s="18"/>
      <c r="J112" s="18"/>
      <c r="K112" s="18"/>
    </row>
    <row r="113" spans="2:11" ht="37.5" x14ac:dyDescent="0.25">
      <c r="B113" s="1173"/>
      <c r="C113" s="82"/>
      <c r="D113" s="177" t="s">
        <v>1827</v>
      </c>
      <c r="E113" s="18"/>
      <c r="F113" s="18"/>
      <c r="G113" s="18"/>
      <c r="H113" s="18"/>
      <c r="I113" s="18"/>
      <c r="J113" s="18"/>
      <c r="K113" s="18"/>
    </row>
    <row r="114" spans="2:11" ht="38.25" thickBot="1" x14ac:dyDescent="0.3">
      <c r="B114" s="1174"/>
      <c r="C114" s="8"/>
      <c r="D114" s="181" t="s">
        <v>1828</v>
      </c>
      <c r="E114" s="18"/>
      <c r="F114" s="18"/>
      <c r="G114" s="18"/>
      <c r="H114" s="18"/>
      <c r="I114" s="18"/>
      <c r="J114" s="18"/>
      <c r="K114" s="18"/>
    </row>
    <row r="115" spans="2:11" x14ac:dyDescent="0.25">
      <c r="B115" s="18"/>
      <c r="C115" s="80"/>
      <c r="D115" s="18"/>
      <c r="E115" s="18"/>
      <c r="F115" s="18"/>
      <c r="G115" s="18"/>
      <c r="H115" s="18"/>
      <c r="I115" s="18"/>
      <c r="J115" s="18"/>
      <c r="K115" s="18"/>
    </row>
    <row r="116" spans="2:11" s="188" customFormat="1" x14ac:dyDescent="0.25">
      <c r="C116" s="80"/>
    </row>
    <row r="117" spans="2:11" s="188" customFormat="1" x14ac:dyDescent="0.25">
      <c r="C117" s="80"/>
    </row>
    <row r="118" spans="2:11" s="188" customFormat="1" x14ac:dyDescent="0.25">
      <c r="C118" s="80"/>
    </row>
    <row r="119" spans="2:11" s="188" customFormat="1" x14ac:dyDescent="0.25">
      <c r="C119" s="80"/>
    </row>
    <row r="120" spans="2:11" s="188" customFormat="1" x14ac:dyDescent="0.25">
      <c r="C120" s="80"/>
    </row>
    <row r="121" spans="2:11" s="188" customFormat="1" x14ac:dyDescent="0.25">
      <c r="C121" s="80"/>
    </row>
    <row r="122" spans="2:11" s="188" customFormat="1" x14ac:dyDescent="0.25">
      <c r="C122" s="80"/>
    </row>
    <row r="123" spans="2:11" s="188" customFormat="1" x14ac:dyDescent="0.25">
      <c r="C123" s="80"/>
    </row>
    <row r="124" spans="2:11" s="188" customFormat="1" x14ac:dyDescent="0.25">
      <c r="C124" s="80"/>
    </row>
  </sheetData>
  <sheetProtection formatCells="0" formatRows="0" insertColumns="0" insertRows="0" deleteColumns="0" deleteRows="0"/>
  <mergeCells count="38">
    <mergeCell ref="B76:B82"/>
    <mergeCell ref="D44:K44"/>
    <mergeCell ref="B46:E46"/>
    <mergeCell ref="B47:B53"/>
    <mergeCell ref="B15:B42"/>
    <mergeCell ref="D21:K21"/>
    <mergeCell ref="D22:D23"/>
    <mergeCell ref="E22:F22"/>
    <mergeCell ref="G22:J22"/>
    <mergeCell ref="C22:C23"/>
    <mergeCell ref="D15:K15"/>
    <mergeCell ref="D20:K20"/>
    <mergeCell ref="B85:B95"/>
    <mergeCell ref="B96:B114"/>
    <mergeCell ref="B69:G70"/>
    <mergeCell ref="H34:H35"/>
    <mergeCell ref="D31:K31"/>
    <mergeCell ref="F33:G33"/>
    <mergeCell ref="E34:E35"/>
    <mergeCell ref="F34:F35"/>
    <mergeCell ref="D32:K32"/>
    <mergeCell ref="D43:K43"/>
    <mergeCell ref="B83:B84"/>
    <mergeCell ref="D83:D84"/>
    <mergeCell ref="C33:C35"/>
    <mergeCell ref="D33:D35"/>
    <mergeCell ref="B56:B62"/>
    <mergeCell ref="B55:E55"/>
    <mergeCell ref="B10:D10"/>
    <mergeCell ref="F10:S10"/>
    <mergeCell ref="F11:S11"/>
    <mergeCell ref="E12:R12"/>
    <mergeCell ref="E13:R13"/>
    <mergeCell ref="A1:P1"/>
    <mergeCell ref="A2:P2"/>
    <mergeCell ref="A3:P3"/>
    <mergeCell ref="A4:D4"/>
    <mergeCell ref="A5:P5"/>
  </mergeCells>
  <conditionalFormatting sqref="D42">
    <cfRule type="containsText" dxfId="11" priority="5" operator="containsText" text="ERROR">
      <formula>NOT(ISERROR(SEARCH("ERROR",D42)))</formula>
    </cfRule>
  </conditionalFormatting>
  <conditionalFormatting sqref="E12:R12">
    <cfRule type="expression" dxfId="10" priority="1">
      <formula>E11="SI SE REPORTA"</formula>
    </cfRule>
  </conditionalFormatting>
  <conditionalFormatting sqref="F10">
    <cfRule type="notContainsBlanks" dxfId="9" priority="4">
      <formula>LEN(TRIM(F10))&gt;0</formula>
    </cfRule>
  </conditionalFormatting>
  <conditionalFormatting sqref="F11:S11">
    <cfRule type="expression" dxfId="8" priority="2">
      <formula>E11="NO SE REPORTA"</formula>
    </cfRule>
    <cfRule type="expression" dxfId="7" priority="3">
      <formula>E10="NO APLICA"</formula>
    </cfRule>
  </conditionalFormatting>
  <dataValidations count="6">
    <dataValidation type="list" allowBlank="1" showInputMessage="1" showErrorMessage="1" sqref="E10" xr:uid="{00000000-0002-0000-2300-000005000000}">
      <formula1>SI</formula1>
    </dataValidation>
    <dataValidation type="list" allowBlank="1" showInputMessage="1" showErrorMessage="1" sqref="E11" xr:uid="{00000000-0002-0000-2300-000004000000}">
      <formula1>REPORTE</formula1>
    </dataValidation>
    <dataValidation allowBlank="1" showInputMessage="1" showErrorMessage="1" sqref="D42 E36:G42 G30:J30" xr:uid="{00000000-0002-0000-2300-000003000000}"/>
    <dataValidation type="decimal" allowBlank="1" showInputMessage="1" showErrorMessage="1" errorTitle="ERROR" error="Escriba un valor entre 0% y 100%" sqref="E24:F29 D36:D41" xr:uid="{00000000-0002-0000-2300-000002000000}">
      <formula1>0</formula1>
      <formula2>1</formula2>
    </dataValidation>
    <dataValidation type="whole" operator="greaterThanOrEqual" allowBlank="1" showInputMessage="1" showErrorMessage="1" errorTitle="ERROR" error="Valor en PESOS (sin centavos)" sqref="E18:H19 G24:J29" xr:uid="{00000000-0002-0000-2300-000001000000}">
      <formula1>0</formula1>
    </dataValidation>
    <dataValidation type="whole" operator="greaterThanOrEqual" allowBlank="1" showErrorMessage="1" errorTitle="ERROR" error="Escriba un número igual o mayor que 0" promptTitle="ERROR" prompt="Escriba un número igual o mayor que 0" sqref="E17:H17" xr:uid="{00000000-0002-0000-2300-000000000000}">
      <formula1>0</formula1>
    </dataValidation>
  </dataValidations>
  <hyperlinks>
    <hyperlink ref="B9" location="'ANEXO 3'!A1" display="VOLVER AL INDICE" xr:uid="{DBF5E656-ABB1-40A2-B1D5-CA19020EE6D2}"/>
    <hyperlink ref="E51" r:id="rId1" xr:uid="{29596EB9-02CB-4366-809A-D60D87968510}"/>
  </hyperlinks>
  <pageMargins left="0.25" right="0.25" top="0.75" bottom="0.75" header="0.3" footer="0.3"/>
  <pageSetup paperSize="178" orientation="landscape" horizontalDpi="1200" verticalDpi="1200"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9"/>
  <dimension ref="A1:I42"/>
  <sheetViews>
    <sheetView workbookViewId="0">
      <selection activeCell="B3" sqref="B3"/>
    </sheetView>
  </sheetViews>
  <sheetFormatPr baseColWidth="10" defaultColWidth="11.42578125" defaultRowHeight="15" x14ac:dyDescent="0.25"/>
  <cols>
    <col min="1" max="1" width="3.42578125" bestFit="1" customWidth="1"/>
    <col min="2" max="2" width="42.85546875" customWidth="1"/>
    <col min="3" max="3" width="1" customWidth="1"/>
    <col min="6" max="6" width="11.140625" customWidth="1"/>
    <col min="9" max="9" width="11.5703125"/>
  </cols>
  <sheetData>
    <row r="1" spans="1:9" x14ac:dyDescent="0.25">
      <c r="A1" s="358" t="s">
        <v>631</v>
      </c>
    </row>
    <row r="2" spans="1:9" x14ac:dyDescent="0.25">
      <c r="B2" t="s">
        <v>1832</v>
      </c>
    </row>
    <row r="3" spans="1:9" x14ac:dyDescent="0.25">
      <c r="C3" t="s">
        <v>596</v>
      </c>
    </row>
    <row r="5" spans="1:9" x14ac:dyDescent="0.25">
      <c r="A5" s="198" t="s">
        <v>597</v>
      </c>
      <c r="B5" s="198" t="s">
        <v>1</v>
      </c>
      <c r="C5" t="s">
        <v>596</v>
      </c>
      <c r="D5" s="319" t="e">
        <f>IF(SUM(#REF!)=1,SUM(#REF!),"ERROR: LA SUMA DE LA COLUMNA DEBE SER 100%")</f>
        <v>#REF!</v>
      </c>
      <c r="E5" s="320" t="e">
        <f>IF(+#REF!*#REF!+#REF!*#REF!+#REF!*#REF!=0,"N.A.",#REF!*#REF!+#REF!*#REF!+#REF!*#REF!)</f>
        <v>#REF!</v>
      </c>
      <c r="F5" s="320" t="e">
        <f>IF(+#REF!*#REF!+#REF!*#REF!+#REF!*#REF!=0,"N.A.",#REF!*#REF!+#REF!*#REF!+#REF!*#REF!)</f>
        <v>#REF!</v>
      </c>
      <c r="G5" s="320" t="e">
        <f>IF(+#REF!*#REF!+#REF!*#REF!+#REF!*#REF!=0,"N.A.",#REF!*#REF!+#REF!*#REF!+#REF!*#REF!)</f>
        <v>#REF!</v>
      </c>
      <c r="H5" s="320" t="e">
        <f>IF(+#REF!*#REF!+#REF!*#REF!+#REF!*#REF!=0,"N.A.",#REF!*#REF!+#REF!*#REF!+#REF!*#REF!)</f>
        <v>#REF!</v>
      </c>
      <c r="I5" s="320"/>
    </row>
    <row r="6" spans="1:9" x14ac:dyDescent="0.25">
      <c r="A6" s="198" t="s">
        <v>598</v>
      </c>
      <c r="B6" s="198" t="s">
        <v>3</v>
      </c>
      <c r="C6" t="s">
        <v>596</v>
      </c>
      <c r="D6" s="321"/>
      <c r="E6" s="321"/>
      <c r="F6" s="321"/>
      <c r="G6" s="321"/>
      <c r="H6" s="321"/>
      <c r="I6" s="321"/>
    </row>
    <row r="7" spans="1:9" x14ac:dyDescent="0.25">
      <c r="A7" s="198" t="s">
        <v>599</v>
      </c>
      <c r="B7" s="198" t="s">
        <v>5</v>
      </c>
      <c r="C7" t="s">
        <v>596</v>
      </c>
      <c r="D7" s="321"/>
      <c r="E7" s="321"/>
      <c r="F7" s="321"/>
      <c r="G7" s="321"/>
      <c r="H7" s="321"/>
      <c r="I7" s="321"/>
    </row>
    <row r="8" spans="1:9" x14ac:dyDescent="0.25">
      <c r="A8" s="198" t="s">
        <v>600</v>
      </c>
      <c r="B8" s="198" t="s">
        <v>7</v>
      </c>
      <c r="C8" t="s">
        <v>596</v>
      </c>
      <c r="D8" s="321"/>
      <c r="E8" s="321"/>
      <c r="F8" s="321"/>
      <c r="G8" s="321"/>
      <c r="H8" s="321"/>
      <c r="I8" s="321"/>
    </row>
    <row r="9" spans="1:9" x14ac:dyDescent="0.25">
      <c r="A9" s="198" t="s">
        <v>601</v>
      </c>
      <c r="B9" s="198" t="s">
        <v>9</v>
      </c>
      <c r="C9" t="s">
        <v>596</v>
      </c>
      <c r="D9" s="321"/>
      <c r="E9" s="321"/>
      <c r="F9" s="321"/>
      <c r="G9" s="321"/>
      <c r="H9" s="321"/>
      <c r="I9" s="321"/>
    </row>
    <row r="10" spans="1:9" x14ac:dyDescent="0.25">
      <c r="A10" s="198" t="s">
        <v>602</v>
      </c>
      <c r="B10" s="198" t="s">
        <v>11</v>
      </c>
      <c r="C10" t="s">
        <v>596</v>
      </c>
      <c r="D10" s="321"/>
      <c r="E10" s="321"/>
      <c r="F10" s="321"/>
      <c r="G10" s="321"/>
      <c r="H10" s="321"/>
      <c r="I10" s="321"/>
    </row>
    <row r="11" spans="1:9" x14ac:dyDescent="0.25">
      <c r="A11" s="198" t="s">
        <v>603</v>
      </c>
      <c r="B11" s="198" t="s">
        <v>13</v>
      </c>
      <c r="C11" t="s">
        <v>596</v>
      </c>
      <c r="D11" s="321"/>
      <c r="E11" s="321"/>
      <c r="F11" s="321"/>
      <c r="G11" s="321"/>
      <c r="H11" s="321"/>
      <c r="I11" s="321"/>
    </row>
    <row r="12" spans="1:9" x14ac:dyDescent="0.25">
      <c r="A12" s="198" t="s">
        <v>604</v>
      </c>
      <c r="B12" s="198" t="s">
        <v>15</v>
      </c>
      <c r="C12" t="s">
        <v>596</v>
      </c>
      <c r="D12" s="321"/>
      <c r="E12" s="321"/>
      <c r="F12" s="321"/>
      <c r="G12" s="321"/>
      <c r="H12" s="321"/>
      <c r="I12" s="321"/>
    </row>
    <row r="13" spans="1:9" x14ac:dyDescent="0.25">
      <c r="A13" s="198" t="s">
        <v>605</v>
      </c>
      <c r="B13" s="198" t="s">
        <v>17</v>
      </c>
      <c r="C13" t="s">
        <v>596</v>
      </c>
      <c r="D13" s="321"/>
      <c r="E13" s="321"/>
      <c r="F13" s="321"/>
      <c r="G13" s="321"/>
      <c r="H13" s="321"/>
      <c r="I13" s="321"/>
    </row>
    <row r="14" spans="1:9" x14ac:dyDescent="0.25">
      <c r="A14" s="198" t="s">
        <v>606</v>
      </c>
      <c r="B14" s="198" t="s">
        <v>19</v>
      </c>
      <c r="C14" t="s">
        <v>596</v>
      </c>
      <c r="D14" s="322"/>
      <c r="E14" s="322"/>
      <c r="F14" s="322"/>
      <c r="G14" s="322"/>
      <c r="H14" s="322"/>
      <c r="I14" s="322"/>
    </row>
    <row r="15" spans="1:9" x14ac:dyDescent="0.25">
      <c r="A15" s="198" t="s">
        <v>607</v>
      </c>
      <c r="B15" s="198" t="s">
        <v>20</v>
      </c>
      <c r="C15" t="s">
        <v>596</v>
      </c>
      <c r="D15" s="295" t="e">
        <f>IF(SUM(#REF!)=#REF!,SUM(#REF!),"ERROR: LA SUMA DE LA COLUMNA DEBE SER IGUAL A LA META ANUAL")</f>
        <v>#REF!</v>
      </c>
      <c r="E15" s="295" t="e">
        <f>IF(SUM(#REF!)=#REF!,SUM(#REF!),"ERROR: LA SUMA DE LA COLUMNA DEBE SER IGUAL A LA META ANUAL")</f>
        <v>#REF!</v>
      </c>
      <c r="F15" s="295" t="e">
        <f>IF(SUM(#REF!)=#REF!,SUM(#REF!),"ERROR: LA SUMA DE LA COLUMNA DEBE SER IGUAL A LA META ANUAL")</f>
        <v>#REF!</v>
      </c>
      <c r="G15" s="295" t="e">
        <f>IF(SUM(#REF!)=#REF!,SUM(#REF!),"ERROR: LA SUMA DE LA COLUMNA DEBE SER IGUAL A LA META ANUAL")</f>
        <v>#REF!</v>
      </c>
      <c r="H15" s="295"/>
      <c r="I15" s="295" t="e">
        <f>IF(SUM(#REF!)=#REF!,SUM(#REF!),"ERROR: LA SUMA DE LA COLUMNA DEBE SER IGUAL A LA META ANUAL")</f>
        <v>#REF!</v>
      </c>
    </row>
    <row r="16" spans="1:9" x14ac:dyDescent="0.25">
      <c r="A16" s="198" t="s">
        <v>608</v>
      </c>
      <c r="B16" s="198" t="s">
        <v>21</v>
      </c>
      <c r="C16" t="s">
        <v>596</v>
      </c>
      <c r="D16" s="323"/>
      <c r="E16" s="323"/>
      <c r="F16" s="323"/>
      <c r="G16" s="323"/>
      <c r="H16" s="323"/>
      <c r="I16" s="323"/>
    </row>
    <row r="17" spans="1:9" x14ac:dyDescent="0.25">
      <c r="A17" s="198" t="s">
        <v>609</v>
      </c>
      <c r="B17" s="198" t="s">
        <v>22</v>
      </c>
      <c r="C17" t="s">
        <v>596</v>
      </c>
      <c r="D17" s="321"/>
      <c r="E17" s="321"/>
      <c r="F17" s="321"/>
      <c r="G17" s="321"/>
      <c r="H17" s="321"/>
      <c r="I17" s="321"/>
    </row>
    <row r="18" spans="1:9" x14ac:dyDescent="0.25">
      <c r="A18" s="198" t="s">
        <v>610</v>
      </c>
      <c r="B18" s="198" t="s">
        <v>23</v>
      </c>
      <c r="C18" t="s">
        <v>596</v>
      </c>
      <c r="D18" s="321"/>
      <c r="E18" s="321"/>
      <c r="F18" s="321"/>
      <c r="G18" s="321"/>
      <c r="H18" s="321"/>
      <c r="I18" s="321"/>
    </row>
    <row r="19" spans="1:9" x14ac:dyDescent="0.25">
      <c r="A19" s="198" t="s">
        <v>611</v>
      </c>
      <c r="B19" s="198" t="s">
        <v>24</v>
      </c>
      <c r="C19" t="s">
        <v>596</v>
      </c>
      <c r="D19" s="321"/>
      <c r="E19" s="321"/>
      <c r="F19" s="321"/>
      <c r="G19" s="321"/>
      <c r="H19" s="321"/>
      <c r="I19" s="321"/>
    </row>
    <row r="20" spans="1:9" x14ac:dyDescent="0.25">
      <c r="A20" s="198" t="s">
        <v>612</v>
      </c>
      <c r="B20" s="198" t="s">
        <v>25</v>
      </c>
      <c r="C20" t="s">
        <v>596</v>
      </c>
      <c r="D20" s="319" t="e">
        <f>IF(SUM(#REF!)=1,SUM(#REF!),"ERROR: LA SUMA DE LA COLUMNA DEBE SER 100%")</f>
        <v>#REF!</v>
      </c>
      <c r="E20" s="324" t="e">
        <f>SUM(#REF!)</f>
        <v>#REF!</v>
      </c>
      <c r="F20" s="321"/>
      <c r="G20" s="321"/>
      <c r="H20" s="321"/>
      <c r="I20" s="321"/>
    </row>
    <row r="21" spans="1:9" x14ac:dyDescent="0.25">
      <c r="A21" s="198" t="s">
        <v>613</v>
      </c>
      <c r="B21" s="198" t="s">
        <v>26</v>
      </c>
      <c r="C21" t="s">
        <v>596</v>
      </c>
      <c r="D21" s="321"/>
      <c r="E21" s="321"/>
      <c r="F21" s="321"/>
      <c r="G21" s="321"/>
      <c r="H21" s="321"/>
      <c r="I21" s="321"/>
    </row>
    <row r="22" spans="1:9" x14ac:dyDescent="0.25">
      <c r="A22" s="198" t="s">
        <v>614</v>
      </c>
      <c r="B22" s="198" t="s">
        <v>27</v>
      </c>
      <c r="C22" t="s">
        <v>596</v>
      </c>
      <c r="D22" s="319" t="e">
        <f>IF(SUM(#REF!)=1,SUM(#REF!),"ERROR: LA SUMA DE LA COLUMNA DEBE SER 100%")</f>
        <v>#REF!</v>
      </c>
      <c r="E22" s="321"/>
      <c r="F22" s="321"/>
      <c r="G22" s="321"/>
      <c r="H22" s="321"/>
      <c r="I22" s="321"/>
    </row>
    <row r="23" spans="1:9" x14ac:dyDescent="0.25">
      <c r="A23" s="198" t="s">
        <v>615</v>
      </c>
      <c r="B23" s="198" t="s">
        <v>28</v>
      </c>
      <c r="C23" t="s">
        <v>596</v>
      </c>
      <c r="D23" s="319" t="e">
        <f>IF(SUM(#REF!)=1,SUM(#REF!),"ERROR: LA SUMA DE LA COLUMNA DEBE SER 100%")</f>
        <v>#REF!</v>
      </c>
      <c r="E23" s="324" t="e">
        <f>SUM(#REF!)</f>
        <v>#REF!</v>
      </c>
      <c r="F23" s="321"/>
      <c r="G23" s="321"/>
      <c r="H23" s="321"/>
      <c r="I23" s="321"/>
    </row>
    <row r="24" spans="1:9" x14ac:dyDescent="0.25">
      <c r="A24" s="198" t="s">
        <v>616</v>
      </c>
      <c r="B24" s="198" t="s">
        <v>29</v>
      </c>
      <c r="C24" t="s">
        <v>596</v>
      </c>
      <c r="D24" s="319" t="e">
        <f>IF(SUM(#REF!)=1,SUM(#REF!),"ERROR: LA SUMA DE LA COLUMNA DEBE SER 100%")</f>
        <v>#REF!</v>
      </c>
      <c r="E24" s="325" t="e">
        <f>+#REF!/#REF!</f>
        <v>#REF!</v>
      </c>
      <c r="F24" s="325" t="e">
        <f>+#REF!/#REF!</f>
        <v>#REF!</v>
      </c>
      <c r="G24" s="321"/>
      <c r="H24" s="321"/>
      <c r="I24" s="321"/>
    </row>
    <row r="25" spans="1:9" x14ac:dyDescent="0.25">
      <c r="A25" s="198" t="s">
        <v>617</v>
      </c>
      <c r="B25" s="198" t="s">
        <v>30</v>
      </c>
      <c r="C25" t="s">
        <v>596</v>
      </c>
      <c r="D25" s="321"/>
      <c r="E25" s="321"/>
      <c r="F25" s="321"/>
      <c r="G25" s="321"/>
      <c r="H25" s="321"/>
      <c r="I25" s="321"/>
    </row>
    <row r="26" spans="1:9" x14ac:dyDescent="0.25">
      <c r="A26" s="198" t="s">
        <v>618</v>
      </c>
      <c r="B26" s="198" t="s">
        <v>31</v>
      </c>
      <c r="C26" t="s">
        <v>596</v>
      </c>
      <c r="D26" s="319" t="e">
        <f>IF(SUM(#REF!)=1,SUM(#REF!),"ERROR: LA SUMA DE LA COLUMNA DEBE SER 100%")</f>
        <v>#REF!</v>
      </c>
      <c r="E26" s="321"/>
      <c r="F26" s="321"/>
      <c r="G26" s="321"/>
      <c r="H26" s="321"/>
      <c r="I26" s="321"/>
    </row>
    <row r="27" spans="1:9" x14ac:dyDescent="0.25">
      <c r="A27" s="198" t="s">
        <v>619</v>
      </c>
      <c r="B27" s="198" t="s">
        <v>32</v>
      </c>
      <c r="C27" t="s">
        <v>596</v>
      </c>
      <c r="D27" s="321"/>
      <c r="E27" s="321"/>
      <c r="F27" s="321"/>
      <c r="G27" s="321"/>
      <c r="H27" s="321"/>
      <c r="I27" s="321"/>
    </row>
    <row r="28" spans="1:9" ht="15.75" thickBot="1" x14ac:dyDescent="0.3">
      <c r="A28" s="198" t="s">
        <v>620</v>
      </c>
      <c r="B28" s="198" t="s">
        <v>33</v>
      </c>
      <c r="C28" t="s">
        <v>596</v>
      </c>
      <c r="D28" s="321"/>
      <c r="E28" s="321"/>
      <c r="F28" s="321"/>
      <c r="G28" s="321"/>
      <c r="H28" s="321"/>
      <c r="I28" s="321"/>
    </row>
    <row r="29" spans="1:9" ht="15.75" thickBot="1" x14ac:dyDescent="0.3">
      <c r="A29" s="198" t="s">
        <v>621</v>
      </c>
      <c r="B29" s="198" t="s">
        <v>34</v>
      </c>
      <c r="C29" t="s">
        <v>596</v>
      </c>
      <c r="D29" s="309" t="e">
        <f>IF(SUM(#REF!)=1,"","ERROR: LA SUMA DE LAS PONDERACIONES DEBE SER 100%")</f>
        <v>#REF!</v>
      </c>
      <c r="E29" s="319" t="e">
        <f>+#REF!*#REF!+#REF!*#REF!</f>
        <v>#REF!</v>
      </c>
      <c r="F29" s="321"/>
      <c r="G29" s="321"/>
      <c r="H29" s="321"/>
      <c r="I29" s="321"/>
    </row>
    <row r="30" spans="1:9" x14ac:dyDescent="0.25">
      <c r="A30" s="198" t="s">
        <v>622</v>
      </c>
      <c r="B30" s="198" t="s">
        <v>35</v>
      </c>
      <c r="C30" t="s">
        <v>596</v>
      </c>
      <c r="D30" s="321"/>
      <c r="E30" s="321"/>
      <c r="F30" s="321"/>
      <c r="G30" s="321"/>
      <c r="H30" s="321"/>
      <c r="I30" s="321"/>
    </row>
    <row r="31" spans="1:9" x14ac:dyDescent="0.25">
      <c r="A31" s="198" t="s">
        <v>623</v>
      </c>
      <c r="B31" s="198" t="s">
        <v>36</v>
      </c>
      <c r="C31" t="s">
        <v>596</v>
      </c>
      <c r="D31" s="319" t="e">
        <f>IF(SUM(#REF!)=1,SUM(#REF!),"ERROR: LA SUMA DE LA COLUMNA DEBE SER 100%")</f>
        <v>#REF!</v>
      </c>
      <c r="E31" s="321"/>
      <c r="F31" s="321"/>
      <c r="G31" s="321"/>
      <c r="H31" s="321"/>
      <c r="I31" s="321"/>
    </row>
    <row r="32" spans="1:9" x14ac:dyDescent="0.25">
      <c r="C32" t="s">
        <v>596</v>
      </c>
    </row>
    <row r="33" spans="3:6" x14ac:dyDescent="0.25">
      <c r="C33" t="s">
        <v>596</v>
      </c>
      <c r="D33" s="359" t="s">
        <v>633</v>
      </c>
      <c r="F33" s="363" t="s">
        <v>634</v>
      </c>
    </row>
    <row r="34" spans="3:6" x14ac:dyDescent="0.25">
      <c r="C34" t="s">
        <v>596</v>
      </c>
      <c r="D34" s="359" t="s">
        <v>1033</v>
      </c>
      <c r="F34" s="363" t="s">
        <v>1060</v>
      </c>
    </row>
    <row r="35" spans="3:6" x14ac:dyDescent="0.25">
      <c r="C35" t="s">
        <v>596</v>
      </c>
    </row>
    <row r="36" spans="3:6" x14ac:dyDescent="0.25">
      <c r="C36" t="s">
        <v>596</v>
      </c>
    </row>
    <row r="37" spans="3:6" x14ac:dyDescent="0.25">
      <c r="C37" t="s">
        <v>596</v>
      </c>
    </row>
    <row r="38" spans="3:6" x14ac:dyDescent="0.25">
      <c r="C38" t="s">
        <v>596</v>
      </c>
    </row>
    <row r="39" spans="3:6" x14ac:dyDescent="0.25">
      <c r="C39" t="s">
        <v>596</v>
      </c>
    </row>
    <row r="40" spans="3:6" x14ac:dyDescent="0.25">
      <c r="C40" t="s">
        <v>596</v>
      </c>
    </row>
    <row r="41" spans="3:6" x14ac:dyDescent="0.25">
      <c r="C41" t="s">
        <v>596</v>
      </c>
    </row>
    <row r="42" spans="3:6" x14ac:dyDescent="0.25">
      <c r="C42" t="s">
        <v>596</v>
      </c>
    </row>
  </sheetData>
  <sheetProtection algorithmName="SHA-512" hashValue="E7iSHRO0micllmrxNii03RvnOJK5hLyQjLoWlEvyS8BhlibykYKuwLSgWDIe9bKr0rgV7o/z4gJUJvMIxFrKgw==" saltValue="GBnvGum2z3e+EKxTTYtstw==" spinCount="100000" sheet="1" objects="1" scenarios="1" insertHyperlinks="0" selectLockedCells="1" selectUnlockedCells="1"/>
  <conditionalFormatting sqref="D5">
    <cfRule type="containsText" dxfId="6" priority="11" operator="containsText" text="ERROR">
      <formula>NOT(ISERROR(SEARCH("ERROR",D5)))</formula>
    </cfRule>
  </conditionalFormatting>
  <conditionalFormatting sqref="D20">
    <cfRule type="containsText" dxfId="5" priority="10" operator="containsText" text="ERROR">
      <formula>NOT(ISERROR(SEARCH("ERROR",D20)))</formula>
    </cfRule>
  </conditionalFormatting>
  <conditionalFormatting sqref="D22:D24">
    <cfRule type="containsText" dxfId="4" priority="7" operator="containsText" text="ERROR">
      <formula>NOT(ISERROR(SEARCH("ERROR",D22)))</formula>
    </cfRule>
  </conditionalFormatting>
  <conditionalFormatting sqref="D26">
    <cfRule type="containsText" dxfId="3" priority="2" operator="containsText" text="ERROR">
      <formula>NOT(ISERROR(SEARCH("ERROR",D26)))</formula>
    </cfRule>
  </conditionalFormatting>
  <conditionalFormatting sqref="D29">
    <cfRule type="containsText" dxfId="2" priority="3" operator="containsText" text="ERROR">
      <formula>NOT(ISERROR(SEARCH("ERROR",D29)))</formula>
    </cfRule>
  </conditionalFormatting>
  <conditionalFormatting sqref="D31">
    <cfRule type="containsText" dxfId="1" priority="12" operator="containsText" text="ERROR">
      <formula>NOT(ISERROR(SEARCH("ERROR",D31)))</formula>
    </cfRule>
  </conditionalFormatting>
  <conditionalFormatting sqref="D15:I15">
    <cfRule type="containsText" dxfId="0" priority="1" operator="containsText" text="ERROR">
      <formula>NOT(ISERROR(SEARCH("ERROR",D15)))</formula>
    </cfRule>
  </conditionalFormatting>
  <hyperlinks>
    <hyperlink ref="A1" location="'ANEXO 3'!A1" display="VOLVER AL INDICE" xr:uid="{00000000-0004-0000-2500-000000000000}"/>
  </hyperlinks>
  <pageMargins left="0.7" right="0.7" top="0.75" bottom="0.75" header="0.3" footer="0.3"/>
  <pageSetup paperSize="17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7</vt:i4>
      </vt:variant>
    </vt:vector>
  </HeadingPairs>
  <TitlesOfParts>
    <vt:vector size="44" baseType="lpstr">
      <vt:lpstr>Hoja1</vt:lpstr>
      <vt:lpstr>Informe Ingresos</vt:lpstr>
      <vt:lpstr>PROTOCOLO INGRESOS</vt:lpstr>
      <vt:lpstr>Datos Generales</vt:lpstr>
      <vt:lpstr>Observa</vt:lpstr>
      <vt:lpstr>Protocolo Inf Gestión</vt:lpstr>
      <vt:lpstr>Anexo1_Matriz_Avance Fisico-Fin</vt:lpstr>
      <vt:lpstr>Anexo 5.2 A</vt:lpstr>
      <vt:lpstr>Matriz Seguimiento IMG (2)</vt:lpstr>
      <vt:lpstr>1POMCAS (2)</vt:lpstr>
      <vt:lpstr>2PORH</vt:lpstr>
      <vt:lpstr>3PSMV</vt:lpstr>
      <vt:lpstr>4UsoAguas</vt:lpstr>
      <vt:lpstr>5PUEAA</vt:lpstr>
      <vt:lpstr>6POMCASejec</vt:lpstr>
      <vt:lpstr>7Clima</vt:lpstr>
      <vt:lpstr>8Suelo</vt:lpstr>
      <vt:lpstr>9RUNAP</vt:lpstr>
      <vt:lpstr>10Paramos</vt:lpstr>
      <vt:lpstr>11Forest</vt:lpstr>
      <vt:lpstr>12PlanesAP</vt:lpstr>
      <vt:lpstr>13Amenaz</vt:lpstr>
      <vt:lpstr>14Invasor</vt:lpstr>
      <vt:lpstr>15Restaura</vt:lpstr>
      <vt:lpstr>16MIZC</vt:lpstr>
      <vt:lpstr>17PGIRS</vt:lpstr>
      <vt:lpstr>18Sector</vt:lpstr>
      <vt:lpstr>19GAU</vt:lpstr>
      <vt:lpstr>20Negoc</vt:lpstr>
      <vt:lpstr>21TiempoT</vt:lpstr>
      <vt:lpstr>22Autor</vt:lpstr>
      <vt:lpstr>23Sanc</vt:lpstr>
      <vt:lpstr>24POT</vt:lpstr>
      <vt:lpstr>25Redes</vt:lpstr>
      <vt:lpstr>26SIAC</vt:lpstr>
      <vt:lpstr>27Educa</vt:lpstr>
      <vt:lpstr>Formulas</vt:lpstr>
      <vt:lpstr>'9RUNAP'!_Toc467769476</vt:lpstr>
      <vt:lpstr>'Anexo1_Matriz_Avance Fisico-Fin'!Área_de_impresión</vt:lpstr>
      <vt:lpstr>'Protocolo Inf Gestión'!Área_de_impresión</vt:lpstr>
      <vt:lpstr>'Datos Generales'!Lista_CAR</vt:lpstr>
      <vt:lpstr>REPORTE</vt:lpstr>
      <vt:lpstr>SI</vt:lpstr>
      <vt:lpstr>'Datos Generales'!Vigencias</vt:lpstr>
    </vt:vector>
  </TitlesOfParts>
  <Manager>nortiz@claro.net.co</Manager>
  <Company>Derechos protegidos de autor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Material de Capacitación a las CAR</dc:title>
  <dc:subject/>
  <dc:creator>Usuario</dc:creator>
  <cp:keywords>Documento No Oficial</cp:keywords>
  <dc:description>Matriz elaborada por Néstor Ortiz Pérez, Consultor GIZ-MADS en el marco de PROMAC</dc:description>
  <cp:lastModifiedBy>jose luis peñaranda toro</cp:lastModifiedBy>
  <cp:revision/>
  <dcterms:created xsi:type="dcterms:W3CDTF">2016-11-26T19:57:08Z</dcterms:created>
  <dcterms:modified xsi:type="dcterms:W3CDTF">2025-03-03T22:20:11Z</dcterms:modified>
  <cp:category>Capacitación</cp:category>
  <cp:contentStatus>Preliminar</cp:contentStatus>
</cp:coreProperties>
</file>